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485" windowWidth="14805" windowHeight="3645"/>
  </bookViews>
  <sheets>
    <sheet name="ФСГС" sheetId="8" r:id="rId1"/>
  </sheets>
  <definedNames>
    <definedName name="_xlnm.Print_Titles" localSheetId="0">ФСГС!$14:$14</definedName>
    <definedName name="_xlnm.Print_Area" localSheetId="0">ФСГС!$A$1:$AB$559</definedName>
  </definedNames>
  <calcPr calcId="152511"/>
</workbook>
</file>

<file path=xl/calcChain.xml><?xml version="1.0" encoding="utf-8"?>
<calcChain xmlns="http://schemas.openxmlformats.org/spreadsheetml/2006/main">
  <c r="Z244" i="8" l="1"/>
  <c r="Z245" i="8"/>
  <c r="Y245" i="8"/>
  <c r="Y244" i="8"/>
  <c r="Z25" i="8" l="1"/>
  <c r="Y25" i="8"/>
  <c r="AA132" i="8" l="1"/>
  <c r="Y148" i="8"/>
  <c r="Z148" i="8"/>
  <c r="Y156" i="8"/>
  <c r="Y175" i="8" l="1"/>
  <c r="Y243" i="8"/>
  <c r="Z243" i="8"/>
  <c r="Y26" i="8" l="1"/>
  <c r="Z26" i="8"/>
  <c r="X26" i="8"/>
  <c r="X25" i="8"/>
  <c r="X24" i="8"/>
  <c r="T24" i="8" l="1"/>
  <c r="U24" i="8"/>
  <c r="V24" i="8"/>
  <c r="W24" i="8"/>
  <c r="Z30" i="8"/>
  <c r="X61" i="8" l="1"/>
  <c r="X490" i="8"/>
  <c r="X98" i="8"/>
  <c r="X165" i="8"/>
  <c r="X119" i="8"/>
  <c r="X84" i="8"/>
  <c r="X117" i="8"/>
  <c r="X94" i="8"/>
  <c r="AA476" i="8" l="1"/>
  <c r="AA552" i="8"/>
  <c r="X468" i="8"/>
  <c r="X252" i="8"/>
  <c r="X550" i="8" l="1"/>
  <c r="X542" i="8"/>
  <c r="X231" i="8"/>
  <c r="X230" i="8"/>
  <c r="X204" i="8"/>
  <c r="X447" i="8"/>
  <c r="X448" i="8"/>
  <c r="X143" i="8"/>
  <c r="X120" i="8"/>
  <c r="X110" i="8"/>
  <c r="X102" i="8"/>
  <c r="X79" i="8"/>
  <c r="AA154" i="8"/>
  <c r="X152" i="8"/>
  <c r="X150" i="8"/>
  <c r="X148" i="8" s="1"/>
  <c r="X45" i="8"/>
  <c r="X43" i="8" l="1"/>
  <c r="X208" i="8" l="1"/>
  <c r="AA109" i="8" l="1"/>
  <c r="X108" i="8"/>
  <c r="Y108" i="8"/>
  <c r="Z108" i="8"/>
  <c r="W110" i="8"/>
  <c r="W108" i="8" s="1"/>
  <c r="V110" i="8"/>
  <c r="V108" i="8" s="1"/>
  <c r="U110" i="8"/>
  <c r="U108" i="8" s="1"/>
  <c r="T110" i="8"/>
  <c r="T108" i="8" s="1"/>
  <c r="AA110" i="8" l="1"/>
  <c r="AA108" i="8"/>
  <c r="X167" i="8"/>
  <c r="X484" i="8" l="1"/>
  <c r="X205" i="8"/>
  <c r="X207" i="8"/>
  <c r="X206" i="8"/>
  <c r="X163" i="8" l="1"/>
  <c r="X161" i="8"/>
  <c r="AA71" i="8"/>
  <c r="X68" i="8"/>
  <c r="Y68" i="8"/>
  <c r="Z68" i="8"/>
  <c r="W72" i="8"/>
  <c r="W68" i="8" s="1"/>
  <c r="V72" i="8"/>
  <c r="V68" i="8" s="1"/>
  <c r="U72" i="8"/>
  <c r="U68" i="8" s="1"/>
  <c r="T72" i="8"/>
  <c r="T68" i="8" s="1"/>
  <c r="AA70" i="8"/>
  <c r="AA69" i="8"/>
  <c r="X57" i="8"/>
  <c r="AA72" i="8" l="1"/>
  <c r="X146" i="8"/>
  <c r="X344" i="8"/>
  <c r="X220" i="8" l="1"/>
  <c r="X123" i="8"/>
  <c r="X90" i="8"/>
  <c r="X59" i="8"/>
  <c r="X31" i="8" l="1"/>
  <c r="X129" i="8" l="1"/>
  <c r="X131" i="8"/>
  <c r="X199" i="8" l="1"/>
  <c r="X245" i="8"/>
  <c r="X431" i="8"/>
  <c r="X246" i="8"/>
  <c r="Y246" i="8"/>
  <c r="Z246" i="8"/>
  <c r="X202" i="8" l="1"/>
  <c r="AA230" i="8"/>
  <c r="AA222" i="8"/>
  <c r="AA206" i="8"/>
  <c r="W214" i="8"/>
  <c r="Y214" i="8"/>
  <c r="Z214" i="8"/>
  <c r="AA214" i="8" l="1"/>
  <c r="U33" i="8"/>
  <c r="U28" i="8" s="1"/>
  <c r="V33" i="8"/>
  <c r="V28" i="8" s="1"/>
  <c r="W33" i="8"/>
  <c r="W28" i="8" s="1"/>
  <c r="X33" i="8"/>
  <c r="X28" i="8" s="1"/>
  <c r="Y33" i="8"/>
  <c r="Y28" i="8" s="1"/>
  <c r="Z33" i="8"/>
  <c r="Z28" i="8" s="1"/>
  <c r="T33" i="8"/>
  <c r="T28" i="8" s="1"/>
  <c r="W484" i="8" l="1"/>
  <c r="W90" i="8"/>
  <c r="W242" i="8" l="1"/>
  <c r="W493" i="8" l="1"/>
  <c r="W487" i="8"/>
  <c r="W167" i="8"/>
  <c r="W163" i="8"/>
  <c r="W123" i="8"/>
  <c r="W121" i="8"/>
  <c r="W117" i="8"/>
  <c r="W102" i="8"/>
  <c r="W94" i="8"/>
  <c r="W43" i="8"/>
  <c r="W152" i="8"/>
  <c r="W178" i="8" l="1"/>
  <c r="W179" i="8"/>
  <c r="X160" i="8" l="1"/>
  <c r="Y160" i="8"/>
  <c r="Z160" i="8"/>
  <c r="AA555" i="8" l="1"/>
  <c r="W156" i="8" l="1"/>
  <c r="W177" i="8" l="1"/>
  <c r="V177" i="8"/>
  <c r="W143" i="8" l="1"/>
  <c r="W64" i="8"/>
  <c r="W78" i="8"/>
  <c r="W79" i="8"/>
  <c r="W59" i="8"/>
  <c r="W490" i="8"/>
  <c r="W165" i="8"/>
  <c r="W119" i="8"/>
  <c r="W98" i="8"/>
  <c r="W84" i="8"/>
  <c r="W207" i="8"/>
  <c r="W252" i="8" l="1"/>
  <c r="W161" i="8"/>
  <c r="W57" i="8"/>
  <c r="X156" i="8" l="1"/>
  <c r="X30" i="8" s="1"/>
  <c r="Z501" i="8" l="1"/>
  <c r="Z502" i="8"/>
  <c r="Z503" i="8"/>
  <c r="Z506" i="8"/>
  <c r="Z509" i="8"/>
  <c r="Z512" i="8"/>
  <c r="Z500" i="8" l="1"/>
  <c r="AA133" i="8" l="1"/>
  <c r="AA134" i="8"/>
  <c r="AA130" i="8"/>
  <c r="X127" i="8"/>
  <c r="Y127" i="8"/>
  <c r="Z127" i="8"/>
  <c r="X128" i="8"/>
  <c r="Y128" i="8"/>
  <c r="Y27" i="8" s="1"/>
  <c r="Y24" i="8" s="1"/>
  <c r="Z128" i="8"/>
  <c r="W128" i="8"/>
  <c r="W127" i="8"/>
  <c r="X126" i="8"/>
  <c r="Y126" i="8"/>
  <c r="Z126" i="8"/>
  <c r="W135" i="8"/>
  <c r="W126" i="8" s="1"/>
  <c r="AA142" i="8"/>
  <c r="AA141" i="8"/>
  <c r="AA140" i="8"/>
  <c r="AA139" i="8"/>
  <c r="AA138" i="8"/>
  <c r="V135" i="8"/>
  <c r="U135" i="8"/>
  <c r="T135" i="8"/>
  <c r="AA128" i="8" l="1"/>
  <c r="Z27" i="8"/>
  <c r="Z24" i="8" s="1"/>
  <c r="AA135" i="8"/>
  <c r="AA129" i="8"/>
  <c r="AA131" i="8"/>
  <c r="AA27" i="8" l="1"/>
  <c r="AA449" i="8"/>
  <c r="AA450" i="8"/>
  <c r="V448" i="8"/>
  <c r="U448" i="8"/>
  <c r="W447" i="8"/>
  <c r="W446" i="8" s="1"/>
  <c r="V447" i="8"/>
  <c r="U447" i="8"/>
  <c r="Z446" i="8"/>
  <c r="Y446" i="8"/>
  <c r="X446" i="8"/>
  <c r="V446" i="8"/>
  <c r="U446" i="8"/>
  <c r="AA448" i="8" l="1"/>
  <c r="AA446" i="8"/>
  <c r="AA447" i="8"/>
  <c r="AA549" i="8" l="1"/>
  <c r="AA550" i="8"/>
  <c r="U548" i="8"/>
  <c r="V548" i="8"/>
  <c r="W548" i="8"/>
  <c r="X548" i="8"/>
  <c r="Y548" i="8"/>
  <c r="Z548" i="8"/>
  <c r="T548" i="8"/>
  <c r="AA548" i="8" l="1"/>
  <c r="W45" i="8"/>
  <c r="W30" i="8" s="1"/>
  <c r="W77" i="8" l="1"/>
  <c r="W150" i="8" l="1"/>
  <c r="W106" i="8"/>
  <c r="W542" i="8"/>
  <c r="W344" i="8"/>
  <c r="W61" i="8" l="1"/>
  <c r="W202" i="8" l="1"/>
  <c r="AA474" i="8" l="1"/>
  <c r="AA472" i="8"/>
  <c r="AA172" i="8"/>
  <c r="AA170" i="8"/>
  <c r="AA434" i="8" l="1"/>
  <c r="AA437" i="8"/>
  <c r="AA438" i="8"/>
  <c r="AA439" i="8"/>
  <c r="W431" i="8"/>
  <c r="AA338" i="8"/>
  <c r="AA340" i="8"/>
  <c r="AA344" i="8"/>
  <c r="AA345" i="8"/>
  <c r="AA346" i="8"/>
  <c r="AA347" i="8"/>
  <c r="X336" i="8"/>
  <c r="Y336" i="8"/>
  <c r="Z336" i="8"/>
  <c r="W336" i="8"/>
  <c r="AA295" i="8"/>
  <c r="AA297" i="8"/>
  <c r="AA300" i="8"/>
  <c r="AA301" i="8"/>
  <c r="AA302" i="8"/>
  <c r="X293" i="8"/>
  <c r="Y293" i="8"/>
  <c r="Z293" i="8"/>
  <c r="W293" i="8"/>
  <c r="AA255" i="8"/>
  <c r="AA256" i="8"/>
  <c r="AA257" i="8"/>
  <c r="AA254" i="8"/>
  <c r="AA248" i="8"/>
  <c r="AA252" i="8"/>
  <c r="AA253" i="8"/>
  <c r="W246" i="8"/>
  <c r="W468" i="8" l="1"/>
  <c r="W25" i="8" l="1"/>
  <c r="V251" i="8" l="1"/>
  <c r="U251" i="8"/>
  <c r="V250" i="8"/>
  <c r="U250" i="8"/>
  <c r="AA251" i="8" l="1"/>
  <c r="AA250" i="8"/>
  <c r="AA46" i="8"/>
  <c r="AA44" i="8"/>
  <c r="AA45" i="8"/>
  <c r="V151" i="8" l="1"/>
  <c r="U151" i="8"/>
  <c r="V43" i="8"/>
  <c r="U43" i="8"/>
  <c r="U502" i="8" l="1"/>
  <c r="V436" i="8" l="1"/>
  <c r="V231" i="8"/>
  <c r="V215" i="8"/>
  <c r="V143" i="8"/>
  <c r="V106" i="8"/>
  <c r="V102" i="8"/>
  <c r="V94" i="8"/>
  <c r="V98" i="8"/>
  <c r="V57" i="8"/>
  <c r="V64" i="8"/>
  <c r="V123" i="8"/>
  <c r="V148" i="8" l="1"/>
  <c r="AA153" i="8"/>
  <c r="W27" i="8" l="1"/>
  <c r="V156" i="8" l="1"/>
  <c r="U464" i="8" l="1"/>
  <c r="V464" i="8"/>
  <c r="U465" i="8"/>
  <c r="V465" i="8"/>
  <c r="W148" i="8"/>
  <c r="Z64" i="8" l="1"/>
  <c r="V121" i="8" l="1"/>
  <c r="V115" i="8" l="1"/>
  <c r="V179" i="8"/>
  <c r="X242" i="8"/>
  <c r="Y242" i="8"/>
  <c r="Z242" i="8"/>
  <c r="V242" i="8"/>
  <c r="U483" i="8"/>
  <c r="V483" i="8"/>
  <c r="W483" i="8"/>
  <c r="W480" i="8" s="1"/>
  <c r="X483" i="8"/>
  <c r="X480" i="8" s="1"/>
  <c r="Y483" i="8"/>
  <c r="Y480" i="8" s="1"/>
  <c r="Z483" i="8"/>
  <c r="Z480" i="8" s="1"/>
  <c r="T483" i="8"/>
  <c r="AA495" i="8"/>
  <c r="AA492" i="8"/>
  <c r="AA489" i="8"/>
  <c r="AA486" i="8"/>
  <c r="Z540" i="8"/>
  <c r="Z538" i="8" s="1"/>
  <c r="W540" i="8"/>
  <c r="X540" i="8"/>
  <c r="X538" i="8" s="1"/>
  <c r="Y540" i="8"/>
  <c r="V540" i="8"/>
  <c r="AA470" i="8"/>
  <c r="AA469" i="8"/>
  <c r="V468" i="8"/>
  <c r="U468" i="8"/>
  <c r="T468" i="8"/>
  <c r="V463" i="8"/>
  <c r="U463" i="8"/>
  <c r="X460" i="8"/>
  <c r="Y460" i="8"/>
  <c r="X454" i="8"/>
  <c r="Y454" i="8"/>
  <c r="X457" i="8"/>
  <c r="Y457" i="8"/>
  <c r="X451" i="8"/>
  <c r="Y451" i="8"/>
  <c r="Y452" i="8"/>
  <c r="W244" i="8"/>
  <c r="X244" i="8"/>
  <c r="W245" i="8"/>
  <c r="X443" i="8"/>
  <c r="X243" i="8" s="1"/>
  <c r="Y229" i="8"/>
  <c r="Y227" i="8" s="1"/>
  <c r="Z229" i="8"/>
  <c r="Z227" i="8" s="1"/>
  <c r="Y221" i="8"/>
  <c r="Y219" i="8" s="1"/>
  <c r="Z221" i="8"/>
  <c r="Z219" i="8" s="1"/>
  <c r="Y213" i="8"/>
  <c r="Y211" i="8" s="1"/>
  <c r="Z213" i="8"/>
  <c r="Z211" i="8" s="1"/>
  <c r="Y205" i="8"/>
  <c r="Z205" i="8"/>
  <c r="AA483" i="8" l="1"/>
  <c r="AA468" i="8"/>
  <c r="U161" i="8"/>
  <c r="AA161" i="8" s="1"/>
  <c r="U163" i="8"/>
  <c r="U165" i="8"/>
  <c r="AA165" i="8" s="1"/>
  <c r="U167" i="8"/>
  <c r="AA167" i="8" s="1"/>
  <c r="U159" i="8"/>
  <c r="AA168" i="8"/>
  <c r="AA166" i="8"/>
  <c r="AA164" i="8"/>
  <c r="AA162" i="8"/>
  <c r="W160" i="8"/>
  <c r="Z159" i="8"/>
  <c r="Y159" i="8"/>
  <c r="X159" i="8"/>
  <c r="W159" i="8"/>
  <c r="AA160" i="8" l="1"/>
  <c r="AA159" i="8"/>
  <c r="AA163" i="8"/>
  <c r="AA541" i="8"/>
  <c r="AA542" i="8"/>
  <c r="V435" i="8" l="1"/>
  <c r="V298" i="8"/>
  <c r="V299" i="8"/>
  <c r="AA299" i="8" s="1"/>
  <c r="V528" i="8"/>
  <c r="V530" i="8"/>
  <c r="V487" i="8"/>
  <c r="V493" i="8"/>
  <c r="V490" i="8"/>
  <c r="V117" i="8"/>
  <c r="V78" i="8"/>
  <c r="V79" i="8"/>
  <c r="V84" i="8"/>
  <c r="V83" i="8"/>
  <c r="V59" i="8"/>
  <c r="V61" i="8"/>
  <c r="V223" i="8"/>
  <c r="V207" i="8"/>
  <c r="V481" i="8" l="1"/>
  <c r="V245" i="8" l="1"/>
  <c r="V244" i="8"/>
  <c r="V431" i="8"/>
  <c r="V246" i="8"/>
  <c r="V293" i="8"/>
  <c r="V443" i="8" l="1"/>
  <c r="V243" i="8" s="1"/>
  <c r="V126" i="8" l="1"/>
  <c r="W229" i="8" l="1"/>
  <c r="W221" i="8"/>
  <c r="W213" i="8"/>
  <c r="W205" i="8"/>
  <c r="V25" i="8" l="1"/>
  <c r="W504" i="8"/>
  <c r="X504" i="8"/>
  <c r="V452" i="8"/>
  <c r="V460" i="8"/>
  <c r="V457" i="8"/>
  <c r="V454" i="8"/>
  <c r="V451" i="8"/>
  <c r="V202" i="8" l="1"/>
  <c r="V216" i="8" l="1"/>
  <c r="V217" i="8"/>
  <c r="AA217" i="8" s="1"/>
  <c r="V208" i="8"/>
  <c r="V209" i="8"/>
  <c r="V224" i="8"/>
  <c r="V225" i="8"/>
  <c r="V232" i="8"/>
  <c r="V233" i="8"/>
  <c r="AA107" i="8"/>
  <c r="W74" i="8"/>
  <c r="X74" i="8"/>
  <c r="Y74" i="8"/>
  <c r="Z74" i="8"/>
  <c r="T74" i="8"/>
  <c r="V229" i="8"/>
  <c r="V221" i="8"/>
  <c r="V213" i="8"/>
  <c r="V205" i="8"/>
  <c r="V516" i="8" l="1"/>
  <c r="V511" i="8"/>
  <c r="V508" i="8"/>
  <c r="V505" i="8"/>
  <c r="V504" i="8"/>
  <c r="V507" i="8"/>
  <c r="V510" i="8"/>
  <c r="V513" i="8"/>
  <c r="AA82" i="8"/>
  <c r="V81" i="8"/>
  <c r="W81" i="8"/>
  <c r="X81" i="8"/>
  <c r="Y81" i="8"/>
  <c r="Z81" i="8"/>
  <c r="AA83" i="8"/>
  <c r="U84" i="8"/>
  <c r="U81" i="8" s="1"/>
  <c r="T84" i="8"/>
  <c r="AA77" i="8"/>
  <c r="V74" i="8"/>
  <c r="AA84" i="8" l="1"/>
  <c r="V66" i="8"/>
  <c r="T81" i="8"/>
  <c r="AA81" i="8" s="1"/>
  <c r="AA78" i="8"/>
  <c r="U98" i="8"/>
  <c r="U435" i="8" l="1"/>
  <c r="AA435" i="8" s="1"/>
  <c r="U341" i="8"/>
  <c r="AA341" i="8" s="1"/>
  <c r="U298" i="8"/>
  <c r="AA298" i="8" s="1"/>
  <c r="U152" i="8" l="1"/>
  <c r="U150" i="8"/>
  <c r="AA38" i="8"/>
  <c r="AA156" i="8"/>
  <c r="AA144" i="8"/>
  <c r="U242" i="8" l="1"/>
  <c r="U25" i="8" l="1"/>
  <c r="U179" i="8"/>
  <c r="U177" i="8"/>
  <c r="U117" i="8"/>
  <c r="U540" i="8"/>
  <c r="U143" i="8"/>
  <c r="U436" i="8"/>
  <c r="U530" i="8"/>
  <c r="U493" i="8"/>
  <c r="U229" i="8"/>
  <c r="U231" i="8"/>
  <c r="U102" i="8"/>
  <c r="U64" i="8"/>
  <c r="U526" i="8"/>
  <c r="U487" i="8"/>
  <c r="U213" i="8"/>
  <c r="U212" i="8"/>
  <c r="U215" i="8"/>
  <c r="U94" i="8"/>
  <c r="U76" i="8"/>
  <c r="U74" i="8" s="1"/>
  <c r="U59" i="8"/>
  <c r="U431" i="8" l="1"/>
  <c r="AA436" i="8"/>
  <c r="U343" i="8"/>
  <c r="AA343" i="8" s="1"/>
  <c r="U342" i="8"/>
  <c r="AA342" i="8" s="1"/>
  <c r="U528" i="8"/>
  <c r="U490" i="8"/>
  <c r="U221" i="8"/>
  <c r="U223" i="8"/>
  <c r="U119" i="8"/>
  <c r="U61" i="8"/>
  <c r="U207" i="8"/>
  <c r="U205" i="8"/>
  <c r="AA205" i="8" s="1"/>
  <c r="U57" i="8"/>
  <c r="U106" i="8" l="1"/>
  <c r="U123" i="8" l="1"/>
  <c r="U443" i="8"/>
  <c r="U553" i="8"/>
  <c r="AA553" i="8" s="1"/>
  <c r="AA543" i="8" l="1"/>
  <c r="W538" i="8" l="1"/>
  <c r="X506" i="8" l="1"/>
  <c r="X509" i="8"/>
  <c r="X512" i="8"/>
  <c r="X501" i="8"/>
  <c r="X27" i="8"/>
  <c r="U126" i="8" l="1"/>
  <c r="U148" i="8" l="1"/>
  <c r="AA75" i="8" l="1"/>
  <c r="AA76" i="8"/>
  <c r="AA79" i="8"/>
  <c r="V145" i="8" l="1"/>
  <c r="W145" i="8"/>
  <c r="X145" i="8"/>
  <c r="Y145" i="8"/>
  <c r="Z145" i="8"/>
  <c r="U145" i="8" l="1"/>
  <c r="U485" i="8"/>
  <c r="U116" i="8"/>
  <c r="U90" i="8" l="1"/>
  <c r="U484" i="8"/>
  <c r="U228" i="8"/>
  <c r="U220" i="8"/>
  <c r="U204" i="8"/>
  <c r="U115" i="8"/>
  <c r="AA497" i="8" l="1"/>
  <c r="AA496" i="8"/>
  <c r="U244" i="8" l="1"/>
  <c r="U460" i="8"/>
  <c r="U457" i="8"/>
  <c r="U454" i="8"/>
  <c r="U451" i="8"/>
  <c r="U157" i="8"/>
  <c r="AA151" i="8" l="1"/>
  <c r="U236" i="8" l="1"/>
  <c r="U237" i="8"/>
  <c r="U199" i="8"/>
  <c r="U227" i="8"/>
  <c r="AA228" i="8"/>
  <c r="V227" i="8"/>
  <c r="W227" i="8"/>
  <c r="X227" i="8"/>
  <c r="V219" i="8"/>
  <c r="W219" i="8"/>
  <c r="X219" i="8"/>
  <c r="U219" i="8"/>
  <c r="AA220" i="8"/>
  <c r="V211" i="8"/>
  <c r="W211" i="8"/>
  <c r="X211" i="8"/>
  <c r="U211" i="8"/>
  <c r="T212" i="8"/>
  <c r="AA212" i="8" s="1"/>
  <c r="V203" i="8"/>
  <c r="W203" i="8"/>
  <c r="X203" i="8"/>
  <c r="Y203" i="8"/>
  <c r="Z203" i="8"/>
  <c r="AA204" i="8"/>
  <c r="AA207" i="8"/>
  <c r="AA149" i="8"/>
  <c r="AA150" i="8"/>
  <c r="U245" i="8"/>
  <c r="U336" i="8"/>
  <c r="U293" i="8"/>
  <c r="U203" i="8" l="1"/>
  <c r="U246" i="8"/>
  <c r="U243" i="8" s="1"/>
  <c r="W243" i="8"/>
  <c r="U146" i="8" l="1"/>
  <c r="U121" i="8" l="1"/>
  <c r="U201" i="8" l="1"/>
  <c r="U174" i="8" s="1"/>
  <c r="V201" i="8" l="1"/>
  <c r="W201" i="8"/>
  <c r="W174" i="8" s="1"/>
  <c r="X201" i="8"/>
  <c r="X174" i="8" s="1"/>
  <c r="Y201" i="8"/>
  <c r="Y174" i="8" s="1"/>
  <c r="Z201" i="8"/>
  <c r="V199" i="8"/>
  <c r="W199" i="8"/>
  <c r="W175" i="8" s="1"/>
  <c r="X175" i="8"/>
  <c r="Y199" i="8"/>
  <c r="Z199" i="8"/>
  <c r="AA25" i="8"/>
  <c r="AA24" i="8"/>
  <c r="X481" i="8"/>
  <c r="U202" i="8" l="1"/>
  <c r="AA202" i="8" s="1"/>
  <c r="AA226" i="8"/>
  <c r="AA225" i="8"/>
  <c r="AA224" i="8"/>
  <c r="AA218" i="8"/>
  <c r="AA210" i="8"/>
  <c r="AA233" i="8"/>
  <c r="AA234" i="8"/>
  <c r="AA232" i="8"/>
  <c r="AA520" i="8"/>
  <c r="AA540" i="8" l="1"/>
  <c r="AA505" i="8"/>
  <c r="AA147" i="8"/>
  <c r="AA125" i="8"/>
  <c r="AA105" i="8"/>
  <c r="AA103" i="8"/>
  <c r="AA101" i="8"/>
  <c r="AA99" i="8"/>
  <c r="AA97" i="8"/>
  <c r="AA95" i="8"/>
  <c r="AA93" i="8"/>
  <c r="AA91" i="8"/>
  <c r="AA118" i="8"/>
  <c r="AA122" i="8"/>
  <c r="AA120" i="8"/>
  <c r="AA155" i="8"/>
  <c r="AA48" i="8"/>
  <c r="Z114" i="8"/>
  <c r="Z113" i="8"/>
  <c r="Z89" i="8"/>
  <c r="Z36" i="8" s="1"/>
  <c r="Z88" i="8"/>
  <c r="Z87" i="8"/>
  <c r="Z86" i="8"/>
  <c r="Z67" i="8"/>
  <c r="Z35" i="8" s="1"/>
  <c r="Z66" i="8"/>
  <c r="Z56" i="8"/>
  <c r="Z55" i="8"/>
  <c r="Z49" i="8"/>
  <c r="Z39" i="8"/>
  <c r="Z146" i="8"/>
  <c r="AA215" i="8"/>
  <c r="AA231" i="8"/>
  <c r="AA223" i="8"/>
  <c r="AA460" i="8"/>
  <c r="AA454" i="8"/>
  <c r="AA451" i="8"/>
  <c r="AA499" i="8"/>
  <c r="AA498" i="8"/>
  <c r="AA494" i="8"/>
  <c r="AA491" i="8"/>
  <c r="AA488" i="8"/>
  <c r="AA485" i="8"/>
  <c r="Z482" i="8"/>
  <c r="Z478" i="8" s="1"/>
  <c r="Z481" i="8"/>
  <c r="AA462" i="8"/>
  <c r="AA461" i="8"/>
  <c r="AA459" i="8"/>
  <c r="AA458" i="8"/>
  <c r="AA457" i="8"/>
  <c r="AA456" i="8"/>
  <c r="AA455" i="8"/>
  <c r="AA453" i="8"/>
  <c r="AA452" i="8"/>
  <c r="AA445" i="8"/>
  <c r="AA444" i="8"/>
  <c r="Z175" i="8"/>
  <c r="Y181" i="8"/>
  <c r="Z182" i="8"/>
  <c r="Z183" i="8"/>
  <c r="AA193" i="8"/>
  <c r="AA195" i="8"/>
  <c r="AA216" i="8"/>
  <c r="AA209" i="8"/>
  <c r="AA208" i="8"/>
  <c r="Z198" i="8"/>
  <c r="Z197" i="8"/>
  <c r="AA236" i="8"/>
  <c r="AA240" i="8"/>
  <c r="AA239" i="8"/>
  <c r="Z235" i="8"/>
  <c r="AA521" i="8"/>
  <c r="AA518" i="8"/>
  <c r="AA519" i="8"/>
  <c r="AA516" i="8"/>
  <c r="AA511" i="8"/>
  <c r="AA508" i="8"/>
  <c r="AA514" i="8"/>
  <c r="Z479" i="8"/>
  <c r="U513" i="8"/>
  <c r="U510" i="8"/>
  <c r="U507" i="8"/>
  <c r="U504" i="8"/>
  <c r="Z34" i="8" l="1"/>
  <c r="AA56" i="8"/>
  <c r="Z181" i="8"/>
  <c r="Z174" i="8"/>
  <c r="Z29" i="8"/>
  <c r="U517" i="8"/>
  <c r="AA517" i="8" s="1"/>
  <c r="Z196" i="8"/>
  <c r="Z173" i="8" s="1"/>
  <c r="AA537" i="8"/>
  <c r="AA535" i="8"/>
  <c r="AA532" i="8"/>
  <c r="AA534" i="8"/>
  <c r="Z523" i="8"/>
  <c r="AA525" i="8"/>
  <c r="AA527" i="8"/>
  <c r="AA529" i="8"/>
  <c r="AA531" i="8"/>
  <c r="Z522" i="8"/>
  <c r="AA545" i="8"/>
  <c r="AA546" i="8"/>
  <c r="AA547" i="8"/>
  <c r="AA544" i="8"/>
  <c r="Z539" i="8"/>
  <c r="AA152" i="8"/>
  <c r="U501" i="8" l="1"/>
  <c r="Z477" i="8"/>
  <c r="AA148" i="8"/>
  <c r="AA229" i="8"/>
  <c r="AA221" i="8"/>
  <c r="AA213" i="8"/>
  <c r="Z15" i="8" l="1"/>
  <c r="X482" i="8"/>
  <c r="U481" i="8"/>
  <c r="W481" i="8"/>
  <c r="Y481" i="8"/>
  <c r="U482" i="8"/>
  <c r="V482" i="8"/>
  <c r="W482" i="8"/>
  <c r="Y482" i="8"/>
  <c r="T482" i="8"/>
  <c r="AA482" i="8" l="1"/>
  <c r="T64" i="8" l="1"/>
  <c r="AA64" i="8" s="1"/>
  <c r="U89" i="8" l="1"/>
  <c r="U36" i="8" s="1"/>
  <c r="AA158" i="8"/>
  <c r="AA157" i="8"/>
  <c r="T43" i="8" l="1"/>
  <c r="T176" i="8" l="1"/>
  <c r="T244" i="8" l="1"/>
  <c r="T179" i="8" l="1"/>
  <c r="T177" i="8" l="1"/>
  <c r="T25" i="8" l="1"/>
  <c r="T242" i="8" l="1"/>
  <c r="AA242" i="8" s="1"/>
  <c r="T106" i="8" l="1"/>
  <c r="AA106" i="8" s="1"/>
  <c r="T237" i="8"/>
  <c r="AA237" i="8" s="1"/>
  <c r="T238" i="8"/>
  <c r="AA238" i="8" s="1"/>
  <c r="T42" i="8"/>
  <c r="T126" i="8"/>
  <c r="AA126" i="8" s="1"/>
  <c r="T123" i="8"/>
  <c r="AA123" i="8" s="1"/>
  <c r="T530" i="8"/>
  <c r="AA530" i="8" s="1"/>
  <c r="T493" i="8"/>
  <c r="AA493" i="8" s="1"/>
  <c r="T190" i="8"/>
  <c r="T121" i="8"/>
  <c r="AA121" i="8" s="1"/>
  <c r="T102" i="8"/>
  <c r="AA102" i="8" s="1"/>
  <c r="T117" i="8"/>
  <c r="AA117" i="8" s="1"/>
  <c r="T98" i="8"/>
  <c r="AA98" i="8" s="1"/>
  <c r="T94" i="8"/>
  <c r="AA94" i="8" s="1"/>
  <c r="T59" i="8"/>
  <c r="AA59" i="8" s="1"/>
  <c r="T490" i="8"/>
  <c r="AA490" i="8" s="1"/>
  <c r="T61" i="8"/>
  <c r="AA61" i="8" s="1"/>
  <c r="T524" i="8"/>
  <c r="AA524" i="8" s="1"/>
  <c r="T484" i="8"/>
  <c r="AA484" i="8" s="1"/>
  <c r="T115" i="8"/>
  <c r="AA115" i="8" s="1"/>
  <c r="T90" i="8"/>
  <c r="AA90" i="8" s="1"/>
  <c r="AA68" i="8"/>
  <c r="AA111" i="8" l="1"/>
  <c r="T245" i="8" l="1"/>
  <c r="AA245" i="8" s="1"/>
  <c r="AA551" i="8" l="1"/>
  <c r="U27" i="8" l="1"/>
  <c r="V27" i="8"/>
  <c r="T27" i="8"/>
  <c r="U183" i="8" l="1"/>
  <c r="V183" i="8"/>
  <c r="W183" i="8"/>
  <c r="X183" i="8"/>
  <c r="Y183" i="8"/>
  <c r="T183" i="8"/>
  <c r="AA183" i="8" s="1"/>
  <c r="V181" i="8"/>
  <c r="U31" i="8"/>
  <c r="V31" i="8"/>
  <c r="W31" i="8"/>
  <c r="T31" i="8"/>
  <c r="U30" i="8"/>
  <c r="U26" i="8" s="1"/>
  <c r="V30" i="8"/>
  <c r="V26" i="8" s="1"/>
  <c r="W26" i="8"/>
  <c r="T30" i="8"/>
  <c r="T26" i="8" s="1"/>
  <c r="AA26" i="8" s="1"/>
  <c r="AA30" i="8" l="1"/>
  <c r="AA181" i="8"/>
  <c r="Y89" i="8" l="1"/>
  <c r="Y36" i="8" s="1"/>
  <c r="T89" i="8"/>
  <c r="X89" i="8"/>
  <c r="X36" i="8" s="1"/>
  <c r="W89" i="8"/>
  <c r="W36" i="8" s="1"/>
  <c r="U538" i="8"/>
  <c r="V538" i="8"/>
  <c r="Y538" i="8"/>
  <c r="T538" i="8"/>
  <c r="AA538" i="8" l="1"/>
  <c r="T36" i="8"/>
  <c r="V89" i="8"/>
  <c r="V36" i="8" s="1"/>
  <c r="T227" i="8"/>
  <c r="T219" i="8"/>
  <c r="T211" i="8"/>
  <c r="T203" i="8"/>
  <c r="AA203" i="8" s="1"/>
  <c r="U86" i="8"/>
  <c r="AA36" i="8" l="1"/>
  <c r="AA227" i="8"/>
  <c r="AA89" i="8"/>
  <c r="AA211" i="8"/>
  <c r="AA219" i="8"/>
  <c r="AA191" i="8"/>
  <c r="AA189" i="8"/>
  <c r="AA187" i="8"/>
  <c r="AA185" i="8"/>
  <c r="T199" i="8"/>
  <c r="T116" i="8"/>
  <c r="T57" i="8"/>
  <c r="AA57" i="8" s="1"/>
  <c r="AA190" i="8"/>
  <c r="T526" i="8"/>
  <c r="AA526" i="8" s="1"/>
  <c r="T528" i="8"/>
  <c r="AA528" i="8" s="1"/>
  <c r="T487" i="8"/>
  <c r="AA487" i="8" s="1"/>
  <c r="T443" i="8"/>
  <c r="AA443" i="8" s="1"/>
  <c r="T119" i="8"/>
  <c r="AA119" i="8" s="1"/>
  <c r="AA74" i="8"/>
  <c r="AA42" i="8"/>
  <c r="T146" i="8"/>
  <c r="T186" i="8"/>
  <c r="AA186" i="8" s="1"/>
  <c r="Y539" i="8"/>
  <c r="X539" i="8"/>
  <c r="W539" i="8"/>
  <c r="V539" i="8"/>
  <c r="U539" i="8"/>
  <c r="T539" i="8"/>
  <c r="AA539" i="8"/>
  <c r="AA536" i="8"/>
  <c r="Y523" i="8"/>
  <c r="X523" i="8"/>
  <c r="W523" i="8"/>
  <c r="V523" i="8"/>
  <c r="V480" i="8" s="1"/>
  <c r="U523" i="8"/>
  <c r="U480" i="8" s="1"/>
  <c r="Y522" i="8"/>
  <c r="X522" i="8"/>
  <c r="W522" i="8"/>
  <c r="V522" i="8"/>
  <c r="U522" i="8"/>
  <c r="U477" i="8" s="1"/>
  <c r="AA515" i="8"/>
  <c r="T513" i="8"/>
  <c r="Y512" i="8"/>
  <c r="W512" i="8"/>
  <c r="V512" i="8"/>
  <c r="U512" i="8"/>
  <c r="T512" i="8"/>
  <c r="T510" i="8"/>
  <c r="Y509" i="8"/>
  <c r="W509" i="8"/>
  <c r="V509" i="8"/>
  <c r="U509" i="8"/>
  <c r="T509" i="8"/>
  <c r="T507" i="8"/>
  <c r="Y506" i="8"/>
  <c r="W506" i="8"/>
  <c r="V506" i="8"/>
  <c r="U506" i="8"/>
  <c r="T506" i="8"/>
  <c r="T504" i="8"/>
  <c r="Y503" i="8"/>
  <c r="X503" i="8"/>
  <c r="W503" i="8"/>
  <c r="V503" i="8"/>
  <c r="U503" i="8"/>
  <c r="T503" i="8"/>
  <c r="Y502" i="8"/>
  <c r="Y479" i="8" s="1"/>
  <c r="X502" i="8"/>
  <c r="X479" i="8" s="1"/>
  <c r="W502" i="8"/>
  <c r="W479" i="8" s="1"/>
  <c r="V502" i="8"/>
  <c r="V479" i="8" s="1"/>
  <c r="U479" i="8"/>
  <c r="T502" i="8"/>
  <c r="Y478" i="8"/>
  <c r="X478" i="8"/>
  <c r="W478" i="8"/>
  <c r="V478" i="8"/>
  <c r="U478" i="8"/>
  <c r="AA442" i="8"/>
  <c r="AA441" i="8"/>
  <c r="AA440" i="8"/>
  <c r="AA433" i="8"/>
  <c r="AA432" i="8"/>
  <c r="AA430" i="8"/>
  <c r="AA429" i="8"/>
  <c r="AA428" i="8"/>
  <c r="AA427" i="8"/>
  <c r="AA426" i="8"/>
  <c r="AA425" i="8"/>
  <c r="T424" i="8"/>
  <c r="AA424" i="8" s="1"/>
  <c r="AA423" i="8"/>
  <c r="AA422" i="8"/>
  <c r="AA421" i="8"/>
  <c r="AA420" i="8"/>
  <c r="AA419" i="8"/>
  <c r="T418" i="8"/>
  <c r="AA418" i="8" s="1"/>
  <c r="AA417" i="8"/>
  <c r="AA416" i="8"/>
  <c r="AA415" i="8"/>
  <c r="AA414" i="8"/>
  <c r="AA413" i="8"/>
  <c r="T412" i="8"/>
  <c r="AA412" i="8" s="1"/>
  <c r="AA411" i="8"/>
  <c r="AA410" i="8"/>
  <c r="AA409" i="8"/>
  <c r="AA408" i="8"/>
  <c r="AA407" i="8"/>
  <c r="AA406" i="8"/>
  <c r="T405" i="8"/>
  <c r="AA405" i="8" s="1"/>
  <c r="AA404" i="8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AA392" i="8"/>
  <c r="T391" i="8"/>
  <c r="AA391" i="8" s="1"/>
  <c r="AA390" i="8"/>
  <c r="AA389" i="8"/>
  <c r="AA388" i="8"/>
  <c r="AA387" i="8"/>
  <c r="AA386" i="8"/>
  <c r="AA385" i="8"/>
  <c r="T384" i="8"/>
  <c r="AA384" i="8" s="1"/>
  <c r="AA383" i="8"/>
  <c r="AA382" i="8"/>
  <c r="AA381" i="8"/>
  <c r="AA380" i="8"/>
  <c r="AA379" i="8"/>
  <c r="AA378" i="8"/>
  <c r="T377" i="8"/>
  <c r="AA377" i="8" s="1"/>
  <c r="AA376" i="8"/>
  <c r="AA375" i="8"/>
  <c r="AA374" i="8"/>
  <c r="AA373" i="8"/>
  <c r="AA372" i="8"/>
  <c r="AA371" i="8"/>
  <c r="T370" i="8"/>
  <c r="AA370" i="8" s="1"/>
  <c r="AA369" i="8"/>
  <c r="AA368" i="8"/>
  <c r="AA367" i="8"/>
  <c r="AA366" i="8"/>
  <c r="AA365" i="8"/>
  <c r="AA364" i="8"/>
  <c r="T363" i="8"/>
  <c r="AA363" i="8" s="1"/>
  <c r="AA362" i="8"/>
  <c r="AA361" i="8"/>
  <c r="AA360" i="8"/>
  <c r="AA359" i="8"/>
  <c r="AA358" i="8"/>
  <c r="AA357" i="8"/>
  <c r="T356" i="8"/>
  <c r="AA356" i="8" s="1"/>
  <c r="AA355" i="8"/>
  <c r="AA354" i="8"/>
  <c r="AA353" i="8"/>
  <c r="AA352" i="8"/>
  <c r="AA351" i="8"/>
  <c r="T350" i="8"/>
  <c r="AA350" i="8" s="1"/>
  <c r="AA349" i="8"/>
  <c r="AA348" i="8"/>
  <c r="T339" i="8"/>
  <c r="AA339" i="8" s="1"/>
  <c r="T337" i="8"/>
  <c r="AA337" i="8" s="1"/>
  <c r="AA335" i="8"/>
  <c r="AA334" i="8"/>
  <c r="AA333" i="8"/>
  <c r="AA332" i="8"/>
  <c r="T331" i="8"/>
  <c r="AA331" i="8" s="1"/>
  <c r="AA330" i="8"/>
  <c r="AA329" i="8"/>
  <c r="AA328" i="8"/>
  <c r="AA327" i="8"/>
  <c r="T326" i="8"/>
  <c r="AA326" i="8" s="1"/>
  <c r="AA325" i="8"/>
  <c r="AA324" i="8"/>
  <c r="AA323" i="8"/>
  <c r="AA322" i="8"/>
  <c r="T321" i="8"/>
  <c r="AA320" i="8"/>
  <c r="AA319" i="8"/>
  <c r="AA318" i="8"/>
  <c r="AA317" i="8"/>
  <c r="T316" i="8"/>
  <c r="AA316" i="8" s="1"/>
  <c r="AA315" i="8"/>
  <c r="AA314" i="8"/>
  <c r="AA313" i="8"/>
  <c r="AA312" i="8"/>
  <c r="T311" i="8"/>
  <c r="AA311" i="8" s="1"/>
  <c r="AA310" i="8"/>
  <c r="AA309" i="8"/>
  <c r="AA308" i="8"/>
  <c r="AA307" i="8"/>
  <c r="AA306" i="8"/>
  <c r="T305" i="8"/>
  <c r="AA305" i="8" s="1"/>
  <c r="AA304" i="8"/>
  <c r="AA303" i="8"/>
  <c r="T296" i="8"/>
  <c r="AA296" i="8" s="1"/>
  <c r="T294" i="8"/>
  <c r="AA294" i="8" s="1"/>
  <c r="AA292" i="8"/>
  <c r="AA291" i="8"/>
  <c r="AA290" i="8"/>
  <c r="AA289" i="8"/>
  <c r="AA288" i="8"/>
  <c r="T287" i="8"/>
  <c r="AA287" i="8" s="1"/>
  <c r="AA286" i="8"/>
  <c r="AA285" i="8"/>
  <c r="AA284" i="8"/>
  <c r="AA283" i="8"/>
  <c r="AA282" i="8"/>
  <c r="AA281" i="8"/>
  <c r="T280" i="8"/>
  <c r="AA280" i="8" s="1"/>
  <c r="AA279" i="8"/>
  <c r="AA278" i="8"/>
  <c r="AA277" i="8"/>
  <c r="AA276" i="8"/>
  <c r="AA275" i="8"/>
  <c r="T274" i="8"/>
  <c r="AA274" i="8" s="1"/>
  <c r="AA273" i="8"/>
  <c r="AA272" i="8"/>
  <c r="AA271" i="8"/>
  <c r="AA270" i="8"/>
  <c r="AA269" i="8"/>
  <c r="T268" i="8"/>
  <c r="AA267" i="8"/>
  <c r="AA266" i="8"/>
  <c r="AA265" i="8"/>
  <c r="AA264" i="8"/>
  <c r="T263" i="8"/>
  <c r="AA263" i="8" s="1"/>
  <c r="AA262" i="8"/>
  <c r="AD261" i="8"/>
  <c r="AA261" i="8"/>
  <c r="AD260" i="8"/>
  <c r="AA260" i="8"/>
  <c r="AD259" i="8"/>
  <c r="AA259" i="8"/>
  <c r="AD258" i="8"/>
  <c r="T258" i="8"/>
  <c r="AA258" i="8" s="1"/>
  <c r="T247" i="8"/>
  <c r="AA247" i="8" s="1"/>
  <c r="Y235" i="8"/>
  <c r="Y196" i="8" s="1"/>
  <c r="X235" i="8"/>
  <c r="X196" i="8" s="1"/>
  <c r="W235" i="8"/>
  <c r="W196" i="8" s="1"/>
  <c r="V235" i="8"/>
  <c r="V196" i="8" s="1"/>
  <c r="U235" i="8"/>
  <c r="V174" i="8"/>
  <c r="T201" i="8"/>
  <c r="T200" i="8"/>
  <c r="Y198" i="8"/>
  <c r="X198" i="8"/>
  <c r="W198" i="8"/>
  <c r="V198" i="8"/>
  <c r="U198" i="8"/>
  <c r="Y197" i="8"/>
  <c r="X197" i="8"/>
  <c r="W197" i="8"/>
  <c r="V197" i="8"/>
  <c r="U197" i="8"/>
  <c r="AA188" i="8"/>
  <c r="AA184" i="8"/>
  <c r="Y182" i="8"/>
  <c r="X182" i="8"/>
  <c r="W182" i="8"/>
  <c r="V182" i="8"/>
  <c r="U182" i="8"/>
  <c r="Y146" i="8"/>
  <c r="W146" i="8"/>
  <c r="V146" i="8"/>
  <c r="T143" i="8"/>
  <c r="AA143" i="8" s="1"/>
  <c r="Y114" i="8"/>
  <c r="X114" i="8"/>
  <c r="W114" i="8"/>
  <c r="V114" i="8"/>
  <c r="U114" i="8"/>
  <c r="Y113" i="8"/>
  <c r="X113" i="8"/>
  <c r="W113" i="8"/>
  <c r="V113" i="8"/>
  <c r="U113" i="8"/>
  <c r="Y88" i="8"/>
  <c r="X88" i="8"/>
  <c r="W88" i="8"/>
  <c r="V88" i="8"/>
  <c r="U88" i="8"/>
  <c r="T88" i="8"/>
  <c r="Y87" i="8"/>
  <c r="X87" i="8"/>
  <c r="W87" i="8"/>
  <c r="V87" i="8"/>
  <c r="U87" i="8"/>
  <c r="T87" i="8"/>
  <c r="Y86" i="8"/>
  <c r="X86" i="8"/>
  <c r="W86" i="8"/>
  <c r="V86" i="8"/>
  <c r="Y67" i="8"/>
  <c r="Y35" i="8" s="1"/>
  <c r="X67" i="8"/>
  <c r="X35" i="8" s="1"/>
  <c r="W67" i="8"/>
  <c r="W35" i="8" s="1"/>
  <c r="V67" i="8"/>
  <c r="V35" i="8" s="1"/>
  <c r="U67" i="8"/>
  <c r="U35" i="8" s="1"/>
  <c r="T67" i="8"/>
  <c r="T35" i="8" s="1"/>
  <c r="Y66" i="8"/>
  <c r="X66" i="8"/>
  <c r="W66" i="8"/>
  <c r="U66" i="8"/>
  <c r="AA63" i="8"/>
  <c r="Y56" i="8"/>
  <c r="Y34" i="8" s="1"/>
  <c r="X56" i="8"/>
  <c r="X34" i="8" s="1"/>
  <c r="W56" i="8"/>
  <c r="W34" i="8" s="1"/>
  <c r="V56" i="8"/>
  <c r="V34" i="8" s="1"/>
  <c r="U56" i="8"/>
  <c r="U34" i="8" s="1"/>
  <c r="T56" i="8"/>
  <c r="T34" i="8" s="1"/>
  <c r="Y55" i="8"/>
  <c r="X55" i="8"/>
  <c r="W55" i="8"/>
  <c r="V55" i="8"/>
  <c r="U55" i="8"/>
  <c r="AA52" i="8"/>
  <c r="AA51" i="8"/>
  <c r="AA50" i="8"/>
  <c r="Y49" i="8"/>
  <c r="X49" i="8"/>
  <c r="W49" i="8"/>
  <c r="V49" i="8"/>
  <c r="U49" i="8"/>
  <c r="AA41" i="8"/>
  <c r="AA40" i="8"/>
  <c r="Y39" i="8"/>
  <c r="X39" i="8"/>
  <c r="W39" i="8"/>
  <c r="V39" i="8"/>
  <c r="U39" i="8"/>
  <c r="AA31" i="8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X29" i="8" l="1"/>
  <c r="W173" i="8"/>
  <c r="V29" i="8"/>
  <c r="AA268" i="8"/>
  <c r="AA249" i="8"/>
  <c r="X173" i="8"/>
  <c r="Y29" i="8"/>
  <c r="Y173" i="8"/>
  <c r="W29" i="8"/>
  <c r="U29" i="8"/>
  <c r="T293" i="8"/>
  <c r="AA293" i="8" s="1"/>
  <c r="AA33" i="8"/>
  <c r="AA522" i="8"/>
  <c r="AA504" i="8"/>
  <c r="AA199" i="8"/>
  <c r="AA28" i="8"/>
  <c r="AA87" i="8"/>
  <c r="T174" i="8"/>
  <c r="AA174" i="8" s="1"/>
  <c r="AA201" i="8"/>
  <c r="AA507" i="8"/>
  <c r="AA146" i="8"/>
  <c r="AA510" i="8"/>
  <c r="U196" i="8"/>
  <c r="U173" i="8" s="1"/>
  <c r="AA513" i="8"/>
  <c r="AA244" i="8"/>
  <c r="T114" i="8"/>
  <c r="AA114" i="8" s="1"/>
  <c r="AA116" i="8"/>
  <c r="T481" i="8"/>
  <c r="AA481" i="8" s="1"/>
  <c r="T479" i="8"/>
  <c r="AA479" i="8" s="1"/>
  <c r="AA502" i="8"/>
  <c r="U175" i="8"/>
  <c r="T336" i="8"/>
  <c r="AA336" i="8" s="1"/>
  <c r="V175" i="8"/>
  <c r="T175" i="8"/>
  <c r="V173" i="8"/>
  <c r="T523" i="8"/>
  <c r="AA523" i="8" s="1"/>
  <c r="T500" i="8"/>
  <c r="X477" i="8"/>
  <c r="AA506" i="8"/>
  <c r="AA512" i="8"/>
  <c r="V500" i="8"/>
  <c r="Y500" i="8"/>
  <c r="AA503" i="8"/>
  <c r="AA509" i="8"/>
  <c r="X500" i="8"/>
  <c r="T522" i="8"/>
  <c r="W500" i="8"/>
  <c r="T66" i="8"/>
  <c r="AA66" i="8" s="1"/>
  <c r="T501" i="8"/>
  <c r="AA49" i="8"/>
  <c r="U500" i="8"/>
  <c r="T198" i="8"/>
  <c r="AA198" i="8" s="1"/>
  <c r="T113" i="8"/>
  <c r="AA113" i="8" s="1"/>
  <c r="AD262" i="8"/>
  <c r="AA321" i="8"/>
  <c r="T431" i="8"/>
  <c r="AA431" i="8" s="1"/>
  <c r="V501" i="8"/>
  <c r="V477" i="8" s="1"/>
  <c r="T182" i="8"/>
  <c r="AA182" i="8" s="1"/>
  <c r="T197" i="8"/>
  <c r="AA197" i="8" s="1"/>
  <c r="Y501" i="8"/>
  <c r="Y477" i="8" s="1"/>
  <c r="W501" i="8"/>
  <c r="W477" i="8" s="1"/>
  <c r="T86" i="8"/>
  <c r="AA86" i="8" s="1"/>
  <c r="T235" i="8"/>
  <c r="T55" i="8"/>
  <c r="AA55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X176" i="8" l="1"/>
  <c r="W176" i="8"/>
  <c r="T246" i="8"/>
  <c r="V176" i="8"/>
  <c r="Z176" i="8"/>
  <c r="AA176" i="8" s="1"/>
  <c r="V15" i="8"/>
  <c r="U176" i="8"/>
  <c r="Y176" i="8"/>
  <c r="AA175" i="8"/>
  <c r="U15" i="8"/>
  <c r="X15" i="8"/>
  <c r="Y15" i="8"/>
  <c r="W15" i="8"/>
  <c r="AA501" i="8"/>
  <c r="T196" i="8"/>
  <c r="AA196" i="8" s="1"/>
  <c r="AA235" i="8"/>
  <c r="T29" i="8"/>
  <c r="T480" i="8"/>
  <c r="AA480" i="8" s="1"/>
  <c r="AA500" i="8"/>
  <c r="T477" i="8"/>
  <c r="AA477" i="8" s="1"/>
  <c r="T478" i="8"/>
  <c r="AA478" i="8" s="1"/>
  <c r="AA39" i="8"/>
  <c r="AA18" i="8"/>
  <c r="AA21" i="8"/>
  <c r="AA16" i="8"/>
  <c r="AA246" i="8" l="1"/>
  <c r="T243" i="8"/>
  <c r="T173" i="8" s="1"/>
  <c r="AA29" i="8"/>
  <c r="AA243" i="8" l="1"/>
  <c r="AA173" i="8"/>
  <c r="T15" i="8" l="1"/>
  <c r="AA15" i="8" s="1"/>
</calcChain>
</file>

<file path=xl/sharedStrings.xml><?xml version="1.0" encoding="utf-8"?>
<sst xmlns="http://schemas.openxmlformats.org/spreadsheetml/2006/main" count="5592" uniqueCount="366">
  <si>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</si>
  <si>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</si>
  <si>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</si>
  <si>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</si>
  <si>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</si>
  <si>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</si>
  <si>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</si>
  <si>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</si>
  <si>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</si>
  <si>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</si>
  <si>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</si>
  <si>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</si>
  <si>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</si>
  <si>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</si>
  <si>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</si>
  <si>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</si>
  <si>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</si>
  <si>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</si>
  <si>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</si>
  <si>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</si>
  <si>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</si>
  <si>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</si>
  <si>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</si>
  <si>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</si>
  <si>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</si>
  <si>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</si>
  <si>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</si>
  <si>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</si>
  <si>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</si>
  <si>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</si>
  <si>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</si>
  <si>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</si>
  <si>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</si>
  <si>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</si>
  <si>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</si>
  <si>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</si>
  <si>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</si>
  <si>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</si>
  <si>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</si>
  <si>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</si>
  <si>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</si>
  <si>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</si>
  <si>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</si>
  <si>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</si>
  <si>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</si>
  <si>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</si>
  <si>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</si>
  <si>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</si>
  <si>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</si>
  <si>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</si>
  <si>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</si>
  <si>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</si>
  <si>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</si>
  <si>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</si>
  <si>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</si>
  <si>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</si>
  <si>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</si>
  <si>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</si>
  <si>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</si>
  <si>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</si>
  <si>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</si>
  <si>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</si>
  <si>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</si>
  <si>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</si>
  <si>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</si>
  <si>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</si>
  <si>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</si>
  <si>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</si>
  <si>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</si>
  <si>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</si>
  <si>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</si>
  <si>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</si>
  <si>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</si>
  <si>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</si>
  <si>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</si>
  <si>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</si>
  <si>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</si>
  <si>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</si>
  <si>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</si>
  <si>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</si>
  <si>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</si>
  <si>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</si>
  <si>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</si>
  <si>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</si>
  <si>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</si>
  <si>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</si>
  <si>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</si>
  <si>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</si>
  <si>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</si>
  <si>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</si>
  <si>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</si>
  <si>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</si>
  <si>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</si>
  <si>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</si>
  <si>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</si>
  <si>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</si>
  <si>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</si>
  <si>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</si>
  <si>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</si>
  <si>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</si>
  <si>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</si>
  <si>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</si>
  <si>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</si>
  <si>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</si>
  <si>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</si>
  <si>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</si>
  <si>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</si>
  <si>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</si>
  <si>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</si>
  <si>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</si>
  <si>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</si>
  <si>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</si>
  <si>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</si>
  <si>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</si>
  <si>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</si>
  <si>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</si>
  <si>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</si>
  <si>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</si>
  <si>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</si>
  <si>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</si>
  <si>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</si>
  <si>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</si>
  <si>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</si>
  <si>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</si>
  <si>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</si>
  <si>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</si>
  <si>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</si>
  <si>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</si>
  <si>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</si>
  <si>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</si>
  <si>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</si>
  <si>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</si>
  <si>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</si>
  <si>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</si>
  <si>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</si>
  <si>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</si>
  <si>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</si>
  <si>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</si>
  <si>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</si>
  <si>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</si>
  <si>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</si>
  <si>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</si>
  <si>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</si>
  <si>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</si>
  <si>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</si>
  <si>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</si>
  <si>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</si>
  <si>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</si>
  <si>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</si>
  <si>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</si>
  <si>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</si>
  <si>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</si>
  <si>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</si>
  <si>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</si>
  <si>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</si>
  <si>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</si>
  <si>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</si>
  <si>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</si>
  <si>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</si>
  <si>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</si>
  <si>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</si>
  <si>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</si>
  <si>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</si>
  <si>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</si>
  <si>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</si>
  <si>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</si>
  <si>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</si>
  <si>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</si>
  <si>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</si>
  <si>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</si>
  <si>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</si>
  <si>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</si>
  <si>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</si>
  <si>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</si>
  <si>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</si>
  <si>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</si>
  <si>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</si>
  <si>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</si>
  <si>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</si>
  <si>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</si>
  <si>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</si>
  <si>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</si>
  <si>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</si>
  <si>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</si>
  <si>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</si>
  <si>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</si>
  <si>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</si>
  <si>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</si>
  <si>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</si>
  <si>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</si>
  <si>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</si>
  <si>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</si>
  <si>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</si>
  <si>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</si>
  <si>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</si>
  <si>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</si>
  <si>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</si>
  <si>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</si>
  <si>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</si>
  <si>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</si>
  <si>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</si>
  <si>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</si>
  <si>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</si>
  <si>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</si>
  <si>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</si>
  <si>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</si>
  <si>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</si>
  <si>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</si>
  <si>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</si>
  <si>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</si>
  <si>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</si>
  <si>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</si>
  <si>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</si>
  <si>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</si>
  <si>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</si>
  <si>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</si>
  <si>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</si>
  <si>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</si>
  <si>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</si>
  <si>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</si>
  <si>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</si>
  <si>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</si>
  <si>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</si>
  <si>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</si>
  <si>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</si>
  <si>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</si>
  <si>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</si>
  <si>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</si>
  <si>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</si>
  <si>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</si>
  <si>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</si>
  <si>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</si>
  <si>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</si>
  <si>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</si>
  <si>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</si>
  <si>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</si>
  <si>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</si>
  <si>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</si>
  <si>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</si>
  <si>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</si>
  <si>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</si>
  <si>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</si>
  <si>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</si>
  <si>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</si>
  <si>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</si>
  <si>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</si>
  <si>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</si>
  <si>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</si>
  <si>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</si>
  <si>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</si>
  <si>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</si>
  <si>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</si>
  <si>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</si>
  <si>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</si>
  <si>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</si>
  <si>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</si>
  <si>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</si>
  <si>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</si>
  <si>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</si>
  <si>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</si>
  <si>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</si>
  <si>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</si>
  <si>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</si>
  <si>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</si>
  <si>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</si>
  <si>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</si>
  <si>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</si>
  <si>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</si>
  <si>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</si>
  <si>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</si>
  <si>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</si>
  <si>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</si>
  <si>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</si>
  <si>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</si>
  <si>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</si>
  <si>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</si>
  <si>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</si>
  <si>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</si>
  <si>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</si>
  <si>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</si>
  <si>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</si>
  <si>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</si>
  <si>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</si>
  <si>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</si>
  <si>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</si>
  <si>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</si>
  <si>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</si>
  <si>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</si>
  <si>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</si>
  <si>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</si>
  <si>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</si>
  <si>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</si>
  <si>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</si>
  <si>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</si>
  <si>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</si>
  <si>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</si>
  <si>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</si>
  <si>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</si>
  <si>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</si>
  <si>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</si>
  <si>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</si>
  <si>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</si>
  <si>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</si>
  <si>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</si>
  <si>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</si>
  <si>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</si>
  <si>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</si>
  <si>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</si>
  <si>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</si>
  <si>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</si>
  <si>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</si>
  <si>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</si>
  <si>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</si>
  <si>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</si>
  <si>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</si>
  <si>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</si>
  <si>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</si>
  <si>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</si>
  <si>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</si>
  <si>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</si>
  <si>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</si>
  <si>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</si>
  <si>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</si>
  <si>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</si>
  <si>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</si>
  <si>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</si>
  <si>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</si>
  <si>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</si>
  <si>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</si>
  <si>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</si>
  <si>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</si>
  <si>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</si>
  <si>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</si>
  <si>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</si>
  <si>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</si>
  <si>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</si>
  <si>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</si>
  <si>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</si>
  <si>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</si>
  <si>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</si>
  <si>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</si>
  <si>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r>
      <t xml:space="preserve">Административное мероприятие 2.12 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</si>
  <si>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t>было 2159</t>
  </si>
  <si>
    <t>1,06</t>
  </si>
  <si>
    <t>33,9</t>
  </si>
  <si>
    <r>
      <t xml:space="preserve">Мероприятие 3.02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</si>
  <si>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r>
      <rPr>
        <b/>
        <sz val="12"/>
        <rFont val="Times New Roman"/>
        <family val="1"/>
        <charset val="204"/>
      </rPr>
      <t xml:space="preserve">Показатель 2  </t>
    </r>
    <r>
      <rPr>
        <sz val="12"/>
        <rFont val="Times New Roman"/>
        <family val="1"/>
        <charset val="204"/>
      </rPr>
      <t xml:space="preserve">    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</si>
  <si>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</si>
  <si>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t xml:space="preserve">Показатель 1
</t>
    </r>
    <r>
      <rPr>
        <sz val="12"/>
        <rFont val="Times New Roman"/>
        <family val="1"/>
        <charset val="204"/>
      </rPr>
      <t>«Общая площадь цветников, подлежащих содержанию»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</si>
  <si>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Пролетарского района» </t>
    </r>
  </si>
  <si>
    <r>
      <t xml:space="preserve">Показатель 4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</si>
  <si>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</si>
  <si>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Московского района»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</si>
  <si>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</si>
  <si>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</si>
  <si>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t xml:space="preserve">Показатель 13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</si>
  <si>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«Общая площадь содержания парков и скверов» 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</si>
  <si>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</si>
  <si>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города (в рамках муниципального задания)»</t>
    </r>
  </si>
  <si>
    <r>
      <t xml:space="preserve">Показатель 7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города (в рамках муниципального задания)»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</si>
  <si>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города (в рамках муниципального задания)»</t>
    </r>
  </si>
  <si>
    <r>
      <t xml:space="preserve">Мероприятие 3.03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</si>
  <si>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t>Приложение  1
к постановлению Администрации города Твери
от «___»  _________2022 № ____</t>
  </si>
  <si>
    <r>
      <t xml:space="preserve">Мероприятие 4.03
</t>
    </r>
    <r>
      <rPr>
        <sz val="12"/>
        <rFont val="Times New Roman"/>
        <family val="1"/>
        <charset val="204"/>
      </rPr>
      <t>«Новое кладбище (в т.ч. ПИР)»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</si>
  <si>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П.Н. Кондратьев</t>
  </si>
  <si>
    <r>
      <rPr>
        <b/>
        <sz val="12"/>
        <rFont val="Times New Roman"/>
        <family val="1"/>
        <charset val="204"/>
      </rPr>
      <t xml:space="preserve">Показатель 2      </t>
    </r>
    <r>
      <rPr>
        <sz val="12"/>
        <rFont val="Times New Roman"/>
        <family val="1"/>
        <charset val="204"/>
      </rPr>
      <t xml:space="preserve">                                  
«Количество обустроенных площадок для сбора твердых коммунальных отходов»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</si>
</sst>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164" fontId="1" fillId="4" borderId="0" xfId="0" applyNumberFormat="1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9"/>
  <sheetViews>
    <sheetView tabSelected="1" view="pageBreakPreview" topLeftCell="A234" zoomScaleNormal="90" zoomScaleSheetLayoutView="100" zoomScalePageLayoutView="62" workbookViewId="0">
      <selection activeCell="Y244" sqref="Y244:Z245"/>
    </sheetView>
  </sheetViews>
  <sheetFormatPr defaultColWidth="8.5703125" defaultRowHeight="15.75" x14ac:dyDescent="0.25"/>
  <cols>
    <col min="1" max="17" width="2.7109375" style="8" customWidth="1"/>
    <col min="18" max="18" width="72.140625" style="7" customWidth="1"/>
    <col min="19" max="19" width="8.42578125" style="7" customWidth="1"/>
    <col min="20" max="21" width="10.140625" style="7" customWidth="1"/>
    <col min="22" max="22" width="10.140625" style="8" customWidth="1"/>
    <col min="23" max="26" width="10.140625" style="7" customWidth="1"/>
    <col min="27" max="27" width="12" style="8" customWidth="1"/>
    <col min="28" max="28" width="7.28515625" style="7" customWidth="1"/>
    <col min="29" max="29" width="12.85546875" style="102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65" t="s">
        <v>362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01"/>
      <c r="AD1" s="101"/>
      <c r="AE1" s="101"/>
    </row>
    <row r="2" spans="1:35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6"/>
      <c r="Y2" s="154"/>
      <c r="Z2" s="154"/>
      <c r="AA2" s="154"/>
      <c r="AB2" s="154"/>
      <c r="AC2" s="101"/>
      <c r="AD2" s="101"/>
      <c r="AE2" s="101"/>
    </row>
    <row r="3" spans="1:35" ht="13.9" customHeight="1" x14ac:dyDescent="0.25">
      <c r="A3" s="165" t="s">
        <v>288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01"/>
      <c r="AD3" s="101"/>
      <c r="AE3" s="101"/>
    </row>
    <row r="4" spans="1:35" x14ac:dyDescent="0.25">
      <c r="A4" s="165" t="s">
        <v>26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9"/>
    </row>
    <row r="5" spans="1:35" x14ac:dyDescent="0.25">
      <c r="A5" s="165" t="s">
        <v>48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9"/>
    </row>
    <row r="6" spans="1:35" x14ac:dyDescent="0.25">
      <c r="A6" s="165" t="s">
        <v>259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</row>
    <row r="7" spans="1:3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54"/>
      <c r="S7" s="154"/>
      <c r="T7" s="154"/>
      <c r="U7" s="154"/>
      <c r="V7" s="11"/>
      <c r="W7" s="154"/>
      <c r="X7" s="166"/>
      <c r="Y7" s="166"/>
      <c r="Z7" s="166"/>
      <c r="AA7" s="166"/>
      <c r="AB7" s="166"/>
    </row>
    <row r="8" spans="1:35" ht="18.75" x14ac:dyDescent="0.25">
      <c r="A8" s="167" t="s">
        <v>12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9"/>
      <c r="AD8" s="12"/>
    </row>
    <row r="9" spans="1:35" ht="18.75" x14ac:dyDescent="0.25">
      <c r="A9" s="167" t="s">
        <v>258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</row>
    <row r="10" spans="1:35" x14ac:dyDescent="0.25">
      <c r="A10" s="168" t="s">
        <v>57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</row>
    <row r="11" spans="1:35" ht="9" customHeight="1" x14ac:dyDescent="0.25">
      <c r="V11" s="13"/>
    </row>
    <row r="12" spans="1:35" s="96" customFormat="1" ht="40.15" customHeight="1" x14ac:dyDescent="0.25">
      <c r="A12" s="169" t="s">
        <v>16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70" t="s">
        <v>13</v>
      </c>
      <c r="S12" s="170" t="s">
        <v>33</v>
      </c>
      <c r="T12" s="170" t="s">
        <v>14</v>
      </c>
      <c r="U12" s="170"/>
      <c r="V12" s="170"/>
      <c r="W12" s="170"/>
      <c r="X12" s="170"/>
      <c r="Y12" s="170"/>
      <c r="Z12" s="170"/>
      <c r="AA12" s="171" t="s">
        <v>10</v>
      </c>
      <c r="AB12" s="171"/>
      <c r="AC12" s="9"/>
      <c r="AD12" s="9"/>
      <c r="AE12" s="9"/>
      <c r="AF12" s="9"/>
      <c r="AG12" s="9"/>
      <c r="AH12" s="9"/>
    </row>
    <row r="13" spans="1:35" s="96" customFormat="1" ht="51.6" customHeight="1" x14ac:dyDescent="0.25">
      <c r="A13" s="169" t="s">
        <v>29</v>
      </c>
      <c r="B13" s="169"/>
      <c r="C13" s="169"/>
      <c r="D13" s="169" t="s">
        <v>27</v>
      </c>
      <c r="E13" s="169"/>
      <c r="F13" s="169" t="s">
        <v>28</v>
      </c>
      <c r="G13" s="169"/>
      <c r="H13" s="169" t="s">
        <v>17</v>
      </c>
      <c r="I13" s="169"/>
      <c r="J13" s="169"/>
      <c r="K13" s="169"/>
      <c r="L13" s="169"/>
      <c r="M13" s="169"/>
      <c r="N13" s="169"/>
      <c r="O13" s="169"/>
      <c r="P13" s="169"/>
      <c r="Q13" s="169"/>
      <c r="R13" s="170"/>
      <c r="S13" s="170"/>
      <c r="T13" s="152">
        <v>2018</v>
      </c>
      <c r="U13" s="152">
        <v>2019</v>
      </c>
      <c r="V13" s="152">
        <v>2020</v>
      </c>
      <c r="W13" s="152">
        <v>2021</v>
      </c>
      <c r="X13" s="157">
        <v>2022</v>
      </c>
      <c r="Y13" s="152">
        <v>2023</v>
      </c>
      <c r="Z13" s="152">
        <v>2024</v>
      </c>
      <c r="AA13" s="152" t="s">
        <v>11</v>
      </c>
      <c r="AB13" s="152" t="s">
        <v>30</v>
      </c>
      <c r="AC13" s="14"/>
      <c r="AD13" s="15"/>
      <c r="AE13" s="15"/>
      <c r="AF13" s="16"/>
      <c r="AG13" s="16"/>
      <c r="AH13" s="16"/>
    </row>
    <row r="14" spans="1:35" s="96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T29+T173+T477+T538</f>
        <v>505632.4</v>
      </c>
      <c r="U15" s="24">
        <f t="shared" si="0"/>
        <v>641164.1</v>
      </c>
      <c r="V15" s="24">
        <f t="shared" si="0"/>
        <v>454063.09999999992</v>
      </c>
      <c r="W15" s="24">
        <f t="shared" si="0"/>
        <v>425522.1999999999</v>
      </c>
      <c r="X15" s="24">
        <f t="shared" si="0"/>
        <v>551382.10000000009</v>
      </c>
      <c r="Y15" s="24">
        <f t="shared" si="0"/>
        <v>407298.4</v>
      </c>
      <c r="Z15" s="24">
        <f t="shared" si="0"/>
        <v>374646.9</v>
      </c>
      <c r="AA15" s="24">
        <f>SUM(T15:Z15)</f>
        <v>3359709.1999999997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53"/>
      <c r="AC23" s="92"/>
      <c r="AD23" s="38"/>
      <c r="AE23" s="38"/>
    </row>
    <row r="24" spans="1:36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(416.9+89.6+58.4+46.2+69.9)/2557*100</f>
        <v>26.63277278060227</v>
      </c>
      <c r="X24" s="3">
        <f xml:space="preserve"> (416.9+89.6+58.4+46.2+69.9+61.4)/2557*100</f>
        <v>29.034024247164648</v>
      </c>
      <c r="Y24" s="3">
        <f xml:space="preserve"> (416.9+89.6+58.4+46.2+69.9+61.4+32)/Y27*100</f>
        <v>35.312357501139999</v>
      </c>
      <c r="Z24" s="3">
        <f xml:space="preserve"> (416.9+89.6+58.4+46.2+69.9+61.4+32+64.3)/Z27*100</f>
        <v>38.244414044687645</v>
      </c>
      <c r="AA24" s="6">
        <f>Z24</f>
        <v>38.244414044687645</v>
      </c>
      <c r="AB24" s="152">
        <v>2024</v>
      </c>
      <c r="AC24" s="33" t="s">
        <v>344</v>
      </c>
    </row>
    <row r="25" spans="1:36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((842+61)+58+42+7+17)/2738*100</f>
        <v>37.509130752373999</v>
      </c>
      <c r="X25" s="3">
        <f>((842+61)+58+42+7+17+14)/2947*100</f>
        <v>35.324058364438407</v>
      </c>
      <c r="Y25" s="3">
        <f>((842+61)+58+42+7+17+14+12)/2947*100</f>
        <v>35.731252120800818</v>
      </c>
      <c r="Z25" s="3">
        <f>((842+61)+58+42+7+17+14+12+16)/2947*100</f>
        <v>36.27417712928402</v>
      </c>
      <c r="AA25" s="6">
        <f>Z25</f>
        <v>36.27417712928402</v>
      </c>
      <c r="AB25" s="152">
        <v>2024</v>
      </c>
      <c r="AC25" s="42">
        <v>39.4</v>
      </c>
      <c r="AD25" s="43"/>
      <c r="AE25" s="43"/>
      <c r="AF25" s="12"/>
    </row>
    <row r="26" spans="1:36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8">
        <f>T30/420.1</f>
        <v>0.21328255177338726</v>
      </c>
      <c r="U26" s="128">
        <f>U30/420.1</f>
        <v>0.13901452035229706</v>
      </c>
      <c r="V26" s="128">
        <f>V30/420.1</f>
        <v>0.10997381575815282</v>
      </c>
      <c r="W26" s="128">
        <f>W30/425.7</f>
        <v>0.164200140944327</v>
      </c>
      <c r="X26" s="128">
        <f>X30/424.9</f>
        <v>0.14450458931513299</v>
      </c>
      <c r="Y26" s="128">
        <f t="shared" ref="Y26:Z26" si="6">Y30/424.9</f>
        <v>7.5311838079548138E-2</v>
      </c>
      <c r="Z26" s="128">
        <f t="shared" si="6"/>
        <v>0.15132972464109201</v>
      </c>
      <c r="AA26" s="141">
        <f>SUM(T26:Z26)</f>
        <v>0.99761718086393714</v>
      </c>
      <c r="AB26" s="152">
        <v>2024</v>
      </c>
      <c r="AC26" s="33" t="s">
        <v>343</v>
      </c>
    </row>
    <row r="27" spans="1:36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52" t="s">
        <v>52</v>
      </c>
      <c r="T27" s="3">
        <f>T128</f>
        <v>2557</v>
      </c>
      <c r="U27" s="3">
        <f t="shared" ref="U27:Z27" si="7">U128</f>
        <v>2220.9</v>
      </c>
      <c r="V27" s="3">
        <f t="shared" si="7"/>
        <v>2165.9</v>
      </c>
      <c r="W27" s="3">
        <f>W128</f>
        <v>2189.1</v>
      </c>
      <c r="X27" s="3">
        <f t="shared" si="7"/>
        <v>2192.9999999999995</v>
      </c>
      <c r="Y27" s="3">
        <f t="shared" si="7"/>
        <v>2192.9999999999995</v>
      </c>
      <c r="Z27" s="3">
        <f t="shared" si="7"/>
        <v>2192.9999999999995</v>
      </c>
      <c r="AA27" s="5">
        <f>Z27</f>
        <v>2192.9999999999995</v>
      </c>
      <c r="AB27" s="152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52" t="s">
        <v>50</v>
      </c>
      <c r="T28" s="44">
        <f>T33</f>
        <v>2400</v>
      </c>
      <c r="U28" s="44">
        <f t="shared" ref="U28:Z28" si="8">U33</f>
        <v>2400</v>
      </c>
      <c r="V28" s="44">
        <f t="shared" si="8"/>
        <v>4059</v>
      </c>
      <c r="W28" s="44">
        <f t="shared" si="8"/>
        <v>3100</v>
      </c>
      <c r="X28" s="44">
        <f t="shared" si="8"/>
        <v>3513</v>
      </c>
      <c r="Y28" s="44">
        <f t="shared" si="8"/>
        <v>3100</v>
      </c>
      <c r="Z28" s="44">
        <f t="shared" si="8"/>
        <v>3100</v>
      </c>
      <c r="AA28" s="49">
        <f>SUM(T28:Z28)</f>
        <v>21672</v>
      </c>
      <c r="AB28" s="152">
        <v>2024</v>
      </c>
      <c r="AC28" s="33" t="s">
        <v>342</v>
      </c>
    </row>
    <row r="29" spans="1:36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140" t="s">
        <v>231</v>
      </c>
      <c r="T29" s="139">
        <f>T39+T49+T55+T66+T86+T108+T113+T123+T126+T143+T146+T148+T157</f>
        <v>325992.60000000003</v>
      </c>
      <c r="U29" s="139">
        <f>U39+U49+U55+U66+U86+U108+U113+U123+U126+U143+U146+U148</f>
        <v>483865.9</v>
      </c>
      <c r="V29" s="139">
        <f>V39+V55+V66+V86+V108+V113+V123+V126+V143+V146+V148+V157</f>
        <v>417830.99999999994</v>
      </c>
      <c r="W29" s="139">
        <f>W39+W49+W55+W66+W86+W108+W113+W123+W126+W143+W146+W148+W157+W159</f>
        <v>361990.59999999992</v>
      </c>
      <c r="X29" s="139">
        <f>X39+X49+X55+X66+X86+X108+X113+X123+X126+X143+X146+X148+X157+X159</f>
        <v>456476.4</v>
      </c>
      <c r="Y29" s="139">
        <f>Y39+Y49+Y55+Y66+Y86+Y108+Y113+Y123+Y126+Y143+Y146+Y148+Y157+Y159</f>
        <v>352423.60000000003</v>
      </c>
      <c r="Z29" s="139">
        <f>Z39+Z49+Z55+Z66+Z86+Z108+Z113+Z123+Z126+Z143+Z146+Z148+Z157+Z159</f>
        <v>306093.40000000002</v>
      </c>
      <c r="AA29" s="139">
        <f>SUM(T29:Z29)</f>
        <v>2704673.5</v>
      </c>
      <c r="AB29" s="140">
        <v>2024</v>
      </c>
      <c r="AC29" s="110"/>
    </row>
    <row r="30" spans="1:36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52" t="s">
        <v>52</v>
      </c>
      <c r="T30" s="4">
        <f t="shared" ref="T30:Z30" si="9">T45+T156</f>
        <v>89.6</v>
      </c>
      <c r="U30" s="4">
        <f t="shared" si="9"/>
        <v>58.4</v>
      </c>
      <c r="V30" s="3">
        <f t="shared" si="9"/>
        <v>46.2</v>
      </c>
      <c r="W30" s="4">
        <f t="shared" si="9"/>
        <v>69.900000000000006</v>
      </c>
      <c r="X30" s="4">
        <f>X45+X156</f>
        <v>61.400000000000006</v>
      </c>
      <c r="Y30" s="4">
        <v>32</v>
      </c>
      <c r="Z30" s="4">
        <f t="shared" si="9"/>
        <v>64.3</v>
      </c>
      <c r="AA30" s="5">
        <f>SUM(T30:Z30)</f>
        <v>421.8</v>
      </c>
      <c r="AB30" s="152">
        <v>2024</v>
      </c>
      <c r="AC30" s="33"/>
    </row>
    <row r="31" spans="1:36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T44+T155</f>
        <v>5</v>
      </c>
      <c r="U31" s="2">
        <f>U44+U155</f>
        <v>6</v>
      </c>
      <c r="V31" s="44">
        <f>V44+V155</f>
        <v>4</v>
      </c>
      <c r="W31" s="2">
        <f>W44+W155</f>
        <v>4</v>
      </c>
      <c r="X31" s="2">
        <f>X44+X155</f>
        <v>5</v>
      </c>
      <c r="Y31" s="44">
        <v>2</v>
      </c>
      <c r="Z31" s="44">
        <v>2</v>
      </c>
      <c r="AA31" s="45">
        <f>SUM(T31:Z31)</f>
        <v>28</v>
      </c>
      <c r="AB31" s="152">
        <v>2024</v>
      </c>
      <c r="AC31" s="33"/>
      <c r="AD31" s="50"/>
    </row>
    <row r="32" spans="1:36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52">
        <v>2024</v>
      </c>
      <c r="AC32" s="33"/>
      <c r="AD32" s="50"/>
    </row>
    <row r="33" spans="1:31" ht="47.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52" t="s">
        <v>50</v>
      </c>
      <c r="T33" s="44">
        <f>T138</f>
        <v>2400</v>
      </c>
      <c r="U33" s="44">
        <f t="shared" ref="U33:Z33" si="10">U138</f>
        <v>2400</v>
      </c>
      <c r="V33" s="44">
        <f t="shared" si="10"/>
        <v>4059</v>
      </c>
      <c r="W33" s="44">
        <f t="shared" si="10"/>
        <v>3100</v>
      </c>
      <c r="X33" s="44">
        <f t="shared" si="10"/>
        <v>3513</v>
      </c>
      <c r="Y33" s="44">
        <f t="shared" si="10"/>
        <v>3100</v>
      </c>
      <c r="Z33" s="44">
        <f t="shared" si="10"/>
        <v>3100</v>
      </c>
      <c r="AA33" s="45">
        <f>SUM(T33:Z33)</f>
        <v>21672</v>
      </c>
      <c r="AB33" s="152">
        <v>2024</v>
      </c>
      <c r="AC33" s="33"/>
    </row>
    <row r="34" spans="1:31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52" t="s">
        <v>38</v>
      </c>
      <c r="T34" s="44">
        <f t="shared" ref="T34:Y34" si="11">T56</f>
        <v>10</v>
      </c>
      <c r="U34" s="44">
        <f t="shared" si="11"/>
        <v>10</v>
      </c>
      <c r="V34" s="44">
        <f t="shared" si="11"/>
        <v>9</v>
      </c>
      <c r="W34" s="44">
        <f t="shared" si="11"/>
        <v>10</v>
      </c>
      <c r="X34" s="44">
        <f t="shared" si="11"/>
        <v>10</v>
      </c>
      <c r="Y34" s="44">
        <f t="shared" si="11"/>
        <v>10</v>
      </c>
      <c r="Z34" s="44">
        <f t="shared" ref="Z34" si="12">Z56</f>
        <v>10</v>
      </c>
      <c r="AA34" s="49">
        <v>10</v>
      </c>
      <c r="AB34" s="152">
        <v>2024</v>
      </c>
      <c r="AC34" s="33"/>
    </row>
    <row r="35" spans="1:31" ht="31.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52" t="s">
        <v>38</v>
      </c>
      <c r="T35" s="44">
        <f t="shared" ref="T35:Y35" si="13">T67</f>
        <v>20</v>
      </c>
      <c r="U35" s="2">
        <f t="shared" si="13"/>
        <v>20</v>
      </c>
      <c r="V35" s="2">
        <f t="shared" si="13"/>
        <v>20</v>
      </c>
      <c r="W35" s="2">
        <f t="shared" si="13"/>
        <v>20</v>
      </c>
      <c r="X35" s="2">
        <f t="shared" si="13"/>
        <v>20</v>
      </c>
      <c r="Y35" s="2">
        <f t="shared" si="13"/>
        <v>20</v>
      </c>
      <c r="Z35" s="2">
        <f t="shared" ref="Z35" si="14">Z67</f>
        <v>20</v>
      </c>
      <c r="AA35" s="49">
        <v>20</v>
      </c>
      <c r="AB35" s="152">
        <v>2024</v>
      </c>
      <c r="AC35" s="33"/>
    </row>
    <row r="36" spans="1:31" s="51" customFormat="1" ht="6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302</v>
      </c>
      <c r="S36" s="41" t="s">
        <v>38</v>
      </c>
      <c r="T36" s="44">
        <f>T89</f>
        <v>25</v>
      </c>
      <c r="U36" s="44">
        <f>U89</f>
        <v>77</v>
      </c>
      <c r="V36" s="44">
        <f t="shared" ref="V36:Y36" si="15">V89</f>
        <v>74</v>
      </c>
      <c r="W36" s="44">
        <f t="shared" si="15"/>
        <v>63</v>
      </c>
      <c r="X36" s="44">
        <f t="shared" si="15"/>
        <v>45</v>
      </c>
      <c r="Y36" s="44">
        <f t="shared" si="15"/>
        <v>34</v>
      </c>
      <c r="Z36" s="44">
        <f t="shared" ref="Z36" si="16">Z89</f>
        <v>34</v>
      </c>
      <c r="AA36" s="49">
        <f>SUM(T36:Z36)</f>
        <v>352</v>
      </c>
      <c r="AB36" s="152">
        <v>2024</v>
      </c>
      <c r="AC36" s="110"/>
      <c r="AD36" s="50"/>
    </row>
    <row r="37" spans="1:31" s="51" customFormat="1" ht="45.75" customHeight="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51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18</v>
      </c>
      <c r="Y38" s="2">
        <v>6</v>
      </c>
      <c r="Z38" s="2">
        <v>6</v>
      </c>
      <c r="AA38" s="49">
        <f>SUM(T38:Z38)</f>
        <v>53</v>
      </c>
      <c r="AB38" s="152">
        <v>2024</v>
      </c>
      <c r="AC38" s="120"/>
      <c r="AD38" s="101"/>
      <c r="AE38" s="8"/>
    </row>
    <row r="39" spans="1:31" x14ac:dyDescent="0.25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72" t="s">
        <v>73</v>
      </c>
      <c r="S39" s="183" t="s">
        <v>0</v>
      </c>
      <c r="T39" s="59">
        <f t="shared" ref="T39:Y39" si="17">T40+T41+T42+T43</f>
        <v>85389.599999999991</v>
      </c>
      <c r="U39" s="59">
        <f t="shared" si="17"/>
        <v>921.2</v>
      </c>
      <c r="V39" s="59">
        <f t="shared" si="17"/>
        <v>350</v>
      </c>
      <c r="W39" s="59">
        <f t="shared" si="17"/>
        <v>7371.0999999999995</v>
      </c>
      <c r="X39" s="59">
        <f t="shared" si="17"/>
        <v>17793.899999999998</v>
      </c>
      <c r="Y39" s="59">
        <f t="shared" si="17"/>
        <v>0</v>
      </c>
      <c r="Z39" s="59">
        <f t="shared" ref="Z39" si="18">Z40+Z41+Z42+Z43</f>
        <v>0</v>
      </c>
      <c r="AA39" s="59">
        <f>SUM(T39:Y39)</f>
        <v>111825.79999999999</v>
      </c>
      <c r="AB39" s="58">
        <v>2022</v>
      </c>
      <c r="AC39" s="124"/>
      <c r="AD39" s="60"/>
      <c r="AE39" s="8"/>
    </row>
    <row r="40" spans="1:31" ht="16.899999999999999" hidden="1" customHeight="1" x14ac:dyDescent="0.25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72"/>
      <c r="S40" s="184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899999999999999" hidden="1" customHeight="1" x14ac:dyDescent="0.25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72"/>
      <c r="S41" s="184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25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72"/>
      <c r="S42" s="184"/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2021</v>
      </c>
      <c r="AC42" s="122"/>
      <c r="AD42" s="101"/>
      <c r="AE42" s="101"/>
    </row>
    <row r="43" spans="1:31" x14ac:dyDescent="0.25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72"/>
      <c r="S43" s="185"/>
      <c r="T43" s="1">
        <f>2298.3-43.1-12-538+10</f>
        <v>1715.2000000000003</v>
      </c>
      <c r="U43" s="1">
        <f>840+131.2-50</f>
        <v>921.2</v>
      </c>
      <c r="V43" s="1">
        <f>150+100+100</f>
        <v>350</v>
      </c>
      <c r="W43" s="1">
        <f>2477.4+9.4+100+70+600+5000-885.7</f>
        <v>7371.0999999999995</v>
      </c>
      <c r="X43" s="1">
        <f>0+300+6588.6+10900-10000+10005.3</f>
        <v>17793.899999999998</v>
      </c>
      <c r="Y43" s="1">
        <v>0</v>
      </c>
      <c r="Z43" s="1">
        <v>0</v>
      </c>
      <c r="AA43" s="59">
        <f>T43+U43+V43+W43+X43+Y43</f>
        <v>28151.399999999998</v>
      </c>
      <c r="AB43" s="58">
        <v>2022</v>
      </c>
      <c r="AC43" s="122"/>
      <c r="AD43" s="103"/>
      <c r="AE43" s="103"/>
    </row>
    <row r="44" spans="1:31" s="72" customFormat="1" ht="31.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2</v>
      </c>
      <c r="X44" s="44">
        <v>2</v>
      </c>
      <c r="Y44" s="44">
        <v>0</v>
      </c>
      <c r="Z44" s="44">
        <v>0</v>
      </c>
      <c r="AA44" s="49">
        <f>SUM(T44:Z44)</f>
        <v>9</v>
      </c>
      <c r="AB44" s="73">
        <v>2022</v>
      </c>
      <c r="AC44" s="33"/>
      <c r="AD44" s="95"/>
      <c r="AE44" s="95"/>
    </row>
    <row r="45" spans="1:31" s="72" customFormat="1" ht="32.450000000000003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f>2.9+0.6</f>
        <v>3.5</v>
      </c>
      <c r="X45" s="3">
        <f>2.4+2.3</f>
        <v>4.6999999999999993</v>
      </c>
      <c r="Y45" s="3">
        <v>0</v>
      </c>
      <c r="Z45" s="3">
        <v>0</v>
      </c>
      <c r="AA45" s="6">
        <f>SUM(T45:Z45)</f>
        <v>97.8</v>
      </c>
      <c r="AB45" s="73">
        <v>2022</v>
      </c>
      <c r="AC45" s="33"/>
      <c r="AD45" s="95"/>
      <c r="AE45" s="95"/>
    </row>
    <row r="46" spans="1:31" s="72" customFormat="1" ht="47.25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1" t="s">
        <v>330</v>
      </c>
      <c r="S46" s="62" t="s">
        <v>38</v>
      </c>
      <c r="T46" s="44">
        <v>8</v>
      </c>
      <c r="U46" s="44">
        <v>5</v>
      </c>
      <c r="V46" s="44">
        <v>8</v>
      </c>
      <c r="W46" s="44">
        <v>16</v>
      </c>
      <c r="X46" s="44">
        <v>12</v>
      </c>
      <c r="Y46" s="44">
        <v>0</v>
      </c>
      <c r="Z46" s="44">
        <v>0</v>
      </c>
      <c r="AA46" s="49">
        <f>SUM(T46:Z46)</f>
        <v>49</v>
      </c>
      <c r="AB46" s="73">
        <v>2022</v>
      </c>
      <c r="AC46" s="33"/>
      <c r="AD46" s="95"/>
      <c r="AE46" s="95"/>
    </row>
    <row r="47" spans="1:31" ht="47.25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51" t="s">
        <v>76</v>
      </c>
      <c r="S47" s="55" t="s">
        <v>41</v>
      </c>
      <c r="T47" s="56">
        <v>0</v>
      </c>
      <c r="U47" s="56">
        <v>0</v>
      </c>
      <c r="V47" s="56">
        <v>0</v>
      </c>
      <c r="W47" s="56">
        <v>1</v>
      </c>
      <c r="X47" s="56">
        <v>1</v>
      </c>
      <c r="Y47" s="56">
        <v>1</v>
      </c>
      <c r="Z47" s="56">
        <v>1</v>
      </c>
      <c r="AA47" s="57">
        <v>1</v>
      </c>
      <c r="AB47" s="58">
        <v>2024</v>
      </c>
      <c r="AC47" s="33"/>
      <c r="AD47" s="103"/>
      <c r="AE47" s="103"/>
    </row>
    <row r="48" spans="1:31" s="51" customFormat="1" ht="31.5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 t="s">
        <v>77</v>
      </c>
      <c r="S48" s="52" t="s">
        <v>38</v>
      </c>
      <c r="T48" s="44">
        <v>0</v>
      </c>
      <c r="U48" s="44">
        <v>0</v>
      </c>
      <c r="V48" s="44">
        <v>0</v>
      </c>
      <c r="W48" s="44">
        <v>1</v>
      </c>
      <c r="X48" s="44">
        <v>1</v>
      </c>
      <c r="Y48" s="44">
        <v>1</v>
      </c>
      <c r="Z48" s="44">
        <v>1</v>
      </c>
      <c r="AA48" s="45">
        <f>SUM(T48:Z48)</f>
        <v>4</v>
      </c>
      <c r="AB48" s="41">
        <v>2024</v>
      </c>
      <c r="AC48" s="33"/>
      <c r="AD48" s="50"/>
    </row>
    <row r="49" spans="1:34" ht="24.6" hidden="1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73" t="s">
        <v>78</v>
      </c>
      <c r="S49" s="63" t="s">
        <v>0</v>
      </c>
      <c r="T49" s="1"/>
      <c r="U49" s="1">
        <f t="shared" ref="U49:Z49" si="19">U51</f>
        <v>0</v>
      </c>
      <c r="V49" s="1">
        <f t="shared" si="19"/>
        <v>0</v>
      </c>
      <c r="W49" s="1">
        <f t="shared" si="19"/>
        <v>0</v>
      </c>
      <c r="X49" s="1">
        <f t="shared" si="19"/>
        <v>0</v>
      </c>
      <c r="Y49" s="1">
        <f t="shared" si="19"/>
        <v>0</v>
      </c>
      <c r="Z49" s="1">
        <f t="shared" si="19"/>
        <v>0</v>
      </c>
      <c r="AA49" s="59">
        <f>T49+U49+V49+W49+X49+Y49</f>
        <v>0</v>
      </c>
      <c r="AB49" s="58">
        <v>2018</v>
      </c>
    </row>
    <row r="50" spans="1:34" ht="22.15" hidden="1" customHeight="1" x14ac:dyDescent="0.25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18</v>
      </c>
      <c r="N50" s="54" t="s">
        <v>18</v>
      </c>
      <c r="O50" s="54" t="s">
        <v>18</v>
      </c>
      <c r="P50" s="54" t="s">
        <v>18</v>
      </c>
      <c r="Q50" s="54" t="s">
        <v>18</v>
      </c>
      <c r="R50" s="174"/>
      <c r="S50" s="55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0.45" hidden="1" customHeight="1" x14ac:dyDescent="0.25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19</v>
      </c>
      <c r="N51" s="54" t="s">
        <v>18</v>
      </c>
      <c r="O51" s="54" t="s">
        <v>23</v>
      </c>
      <c r="P51" s="54" t="s">
        <v>19</v>
      </c>
      <c r="Q51" s="54" t="s">
        <v>45</v>
      </c>
      <c r="R51" s="174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8">
        <v>2018</v>
      </c>
    </row>
    <row r="52" spans="1:34" ht="21" hidden="1" customHeight="1" x14ac:dyDescent="0.25">
      <c r="A52" s="54" t="s">
        <v>18</v>
      </c>
      <c r="B52" s="54" t="s">
        <v>18</v>
      </c>
      <c r="C52" s="54" t="s">
        <v>23</v>
      </c>
      <c r="D52" s="54" t="s">
        <v>18</v>
      </c>
      <c r="E52" s="54" t="s">
        <v>21</v>
      </c>
      <c r="F52" s="54" t="s">
        <v>18</v>
      </c>
      <c r="G52" s="54" t="s">
        <v>22</v>
      </c>
      <c r="H52" s="54" t="s">
        <v>19</v>
      </c>
      <c r="I52" s="54" t="s">
        <v>24</v>
      </c>
      <c r="J52" s="54" t="s">
        <v>18</v>
      </c>
      <c r="K52" s="54" t="s">
        <v>18</v>
      </c>
      <c r="L52" s="54" t="s">
        <v>19</v>
      </c>
      <c r="M52" s="54" t="s">
        <v>37</v>
      </c>
      <c r="N52" s="54" t="s">
        <v>18</v>
      </c>
      <c r="O52" s="54" t="s">
        <v>23</v>
      </c>
      <c r="P52" s="54" t="s">
        <v>19</v>
      </c>
      <c r="Q52" s="54" t="s">
        <v>47</v>
      </c>
      <c r="R52" s="174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59">
        <f>T52+U52+V52+W52+X52+Y52</f>
        <v>0</v>
      </c>
      <c r="AB52" s="57">
        <v>2018</v>
      </c>
    </row>
    <row r="53" spans="1:34" ht="36" hidden="1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 t="s">
        <v>79</v>
      </c>
      <c r="S53" s="41" t="s">
        <v>50</v>
      </c>
      <c r="T53" s="44"/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9"/>
      <c r="AB53" s="2">
        <v>2018</v>
      </c>
      <c r="AD53" s="103"/>
      <c r="AE53" s="103"/>
    </row>
    <row r="54" spans="1:34" ht="41.45" hidden="1" customHeight="1" x14ac:dyDescent="0.25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4" t="s">
        <v>80</v>
      </c>
      <c r="S54" s="65" t="s">
        <v>9</v>
      </c>
      <c r="T54" s="66">
        <v>100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v>100</v>
      </c>
      <c r="AB54" s="23">
        <v>2023</v>
      </c>
      <c r="AC54" s="114"/>
      <c r="AD54" s="101"/>
    </row>
    <row r="55" spans="1:34" ht="31.5" x14ac:dyDescent="0.25">
      <c r="A55" s="54"/>
      <c r="B55" s="54"/>
      <c r="C55" s="54"/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43</v>
      </c>
      <c r="N55" s="54" t="s">
        <v>43</v>
      </c>
      <c r="O55" s="54" t="s">
        <v>43</v>
      </c>
      <c r="P55" s="54" t="s">
        <v>43</v>
      </c>
      <c r="Q55" s="54" t="s">
        <v>43</v>
      </c>
      <c r="R55" s="68" t="s">
        <v>81</v>
      </c>
      <c r="S55" s="58" t="s">
        <v>0</v>
      </c>
      <c r="T55" s="59">
        <f t="shared" ref="T55:Y55" si="20">T57+T59+T64+T61</f>
        <v>5077.4000000000005</v>
      </c>
      <c r="U55" s="59">
        <f t="shared" si="20"/>
        <v>2855.4</v>
      </c>
      <c r="V55" s="59">
        <f t="shared" si="20"/>
        <v>2623.8999999999996</v>
      </c>
      <c r="W55" s="59">
        <f t="shared" si="20"/>
        <v>3067.3</v>
      </c>
      <c r="X55" s="59">
        <f t="shared" si="20"/>
        <v>4221.8</v>
      </c>
      <c r="Y55" s="59">
        <f t="shared" si="20"/>
        <v>4290</v>
      </c>
      <c r="Z55" s="59">
        <f t="shared" ref="Z55" si="21">Z57+Z59+Z64+Z61</f>
        <v>3600</v>
      </c>
      <c r="AA55" s="59">
        <f>SUM(T55:Z55)</f>
        <v>25735.8</v>
      </c>
      <c r="AB55" s="58">
        <v>2024</v>
      </c>
      <c r="AC55" s="119"/>
    </row>
    <row r="56" spans="1:34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61" t="s">
        <v>82</v>
      </c>
      <c r="S56" s="152" t="s">
        <v>38</v>
      </c>
      <c r="T56" s="2">
        <f t="shared" ref="T56:Y56" si="22">T58+T60+T62+T65</f>
        <v>10</v>
      </c>
      <c r="U56" s="2">
        <f t="shared" si="22"/>
        <v>10</v>
      </c>
      <c r="V56" s="2">
        <f t="shared" si="22"/>
        <v>9</v>
      </c>
      <c r="W56" s="2">
        <f t="shared" si="22"/>
        <v>10</v>
      </c>
      <c r="X56" s="2">
        <f t="shared" si="22"/>
        <v>10</v>
      </c>
      <c r="Y56" s="2">
        <f t="shared" si="22"/>
        <v>10</v>
      </c>
      <c r="Z56" s="2">
        <f t="shared" ref="Z56" si="23">Z58+Z60+Z62+Z65</f>
        <v>10</v>
      </c>
      <c r="AA56" s="49">
        <f>Z56</f>
        <v>10</v>
      </c>
      <c r="AB56" s="41">
        <v>2024</v>
      </c>
      <c r="AC56" s="125"/>
      <c r="AD56" s="104"/>
      <c r="AE56" s="115"/>
      <c r="AF56" s="105"/>
      <c r="AG56" s="115"/>
      <c r="AH56" s="105"/>
    </row>
    <row r="57" spans="1:34" s="72" customFormat="1" ht="31.5" x14ac:dyDescent="0.25">
      <c r="A57" s="54" t="s">
        <v>18</v>
      </c>
      <c r="B57" s="54" t="s">
        <v>18</v>
      </c>
      <c r="C57" s="54" t="s">
        <v>22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43</v>
      </c>
      <c r="N57" s="54" t="s">
        <v>43</v>
      </c>
      <c r="O57" s="54" t="s">
        <v>43</v>
      </c>
      <c r="P57" s="54" t="s">
        <v>43</v>
      </c>
      <c r="Q57" s="54" t="s">
        <v>43</v>
      </c>
      <c r="R57" s="69" t="s">
        <v>83</v>
      </c>
      <c r="S57" s="55" t="s">
        <v>0</v>
      </c>
      <c r="T57" s="1">
        <f>1417.5-141.8-26.5</f>
        <v>1249.2</v>
      </c>
      <c r="U57" s="1">
        <f>1000-88.8-46.3</f>
        <v>864.90000000000009</v>
      </c>
      <c r="V57" s="1">
        <f>1000-374-115</f>
        <v>511</v>
      </c>
      <c r="W57" s="1">
        <f>1000-476.5</f>
        <v>523.5</v>
      </c>
      <c r="X57" s="1">
        <f>1000-50-74.8-218.4</f>
        <v>656.80000000000007</v>
      </c>
      <c r="Y57" s="1">
        <v>1000</v>
      </c>
      <c r="Z57" s="1">
        <v>1000</v>
      </c>
      <c r="AA57" s="59">
        <f>SUM(T57:Z57)</f>
        <v>5805.4000000000005</v>
      </c>
      <c r="AB57" s="58">
        <v>2024</v>
      </c>
      <c r="AC57" s="117"/>
      <c r="AD57" s="71"/>
      <c r="AE57" s="71"/>
    </row>
    <row r="58" spans="1:34" s="51" customFormat="1" ht="47.2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84</v>
      </c>
      <c r="S58" s="41" t="s">
        <v>38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2</v>
      </c>
      <c r="AA58" s="45">
        <v>2</v>
      </c>
      <c r="AB58" s="41">
        <v>2024</v>
      </c>
      <c r="AC58" s="125"/>
      <c r="AD58" s="104"/>
      <c r="AE58" s="104"/>
    </row>
    <row r="59" spans="1:34" s="72" customFormat="1" ht="31.5" x14ac:dyDescent="0.25">
      <c r="A59" s="54" t="s">
        <v>18</v>
      </c>
      <c r="B59" s="54" t="s">
        <v>18</v>
      </c>
      <c r="C59" s="54" t="s">
        <v>24</v>
      </c>
      <c r="D59" s="54" t="s">
        <v>18</v>
      </c>
      <c r="E59" s="54" t="s">
        <v>21</v>
      </c>
      <c r="F59" s="54" t="s">
        <v>18</v>
      </c>
      <c r="G59" s="54" t="s">
        <v>22</v>
      </c>
      <c r="H59" s="54" t="s">
        <v>19</v>
      </c>
      <c r="I59" s="54" t="s">
        <v>24</v>
      </c>
      <c r="J59" s="54" t="s">
        <v>18</v>
      </c>
      <c r="K59" s="54" t="s">
        <v>18</v>
      </c>
      <c r="L59" s="54" t="s">
        <v>19</v>
      </c>
      <c r="M59" s="54" t="s">
        <v>43</v>
      </c>
      <c r="N59" s="54" t="s">
        <v>43</v>
      </c>
      <c r="O59" s="54" t="s">
        <v>43</v>
      </c>
      <c r="P59" s="54" t="s">
        <v>43</v>
      </c>
      <c r="Q59" s="54" t="s">
        <v>43</v>
      </c>
      <c r="R59" s="69" t="s">
        <v>85</v>
      </c>
      <c r="S59" s="55" t="s">
        <v>0</v>
      </c>
      <c r="T59" s="1">
        <f>1115-77.4</f>
        <v>1037.5999999999999</v>
      </c>
      <c r="U59" s="1">
        <f>1100-208-27.6</f>
        <v>864.4</v>
      </c>
      <c r="V59" s="1">
        <f>1100-205.4</f>
        <v>894.6</v>
      </c>
      <c r="W59" s="1">
        <f>1100-302.2</f>
        <v>797.8</v>
      </c>
      <c r="X59" s="1">
        <f>1100+15</f>
        <v>1115</v>
      </c>
      <c r="Y59" s="1">
        <v>1100</v>
      </c>
      <c r="Z59" s="1">
        <v>1100</v>
      </c>
      <c r="AA59" s="59">
        <f>SUM(T59:Z59)</f>
        <v>6909.4</v>
      </c>
      <c r="AB59" s="58">
        <v>2024</v>
      </c>
      <c r="AC59" s="33"/>
      <c r="AD59" s="71"/>
      <c r="AE59" s="71"/>
    </row>
    <row r="60" spans="1:34" s="51" customFormat="1" ht="47.2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86</v>
      </c>
      <c r="S60" s="41" t="s">
        <v>38</v>
      </c>
      <c r="T60" s="44">
        <v>4</v>
      </c>
      <c r="U60" s="44">
        <v>4</v>
      </c>
      <c r="V60" s="44">
        <v>4</v>
      </c>
      <c r="W60" s="44">
        <v>4</v>
      </c>
      <c r="X60" s="44">
        <v>4</v>
      </c>
      <c r="Y60" s="44">
        <v>4</v>
      </c>
      <c r="Z60" s="44">
        <v>4</v>
      </c>
      <c r="AA60" s="49">
        <v>4</v>
      </c>
      <c r="AB60" s="41">
        <v>2024</v>
      </c>
      <c r="AC60" s="126"/>
      <c r="AD60" s="112"/>
      <c r="AE60" s="106"/>
    </row>
    <row r="61" spans="1:34" s="72" customFormat="1" ht="31.5" x14ac:dyDescent="0.25">
      <c r="A61" s="54" t="s">
        <v>18</v>
      </c>
      <c r="B61" s="54" t="s">
        <v>18</v>
      </c>
      <c r="C61" s="54" t="s">
        <v>21</v>
      </c>
      <c r="D61" s="54" t="s">
        <v>18</v>
      </c>
      <c r="E61" s="54" t="s">
        <v>21</v>
      </c>
      <c r="F61" s="54" t="s">
        <v>18</v>
      </c>
      <c r="G61" s="54" t="s">
        <v>22</v>
      </c>
      <c r="H61" s="54" t="s">
        <v>19</v>
      </c>
      <c r="I61" s="54" t="s">
        <v>24</v>
      </c>
      <c r="J61" s="54" t="s">
        <v>18</v>
      </c>
      <c r="K61" s="54" t="s">
        <v>18</v>
      </c>
      <c r="L61" s="54" t="s">
        <v>19</v>
      </c>
      <c r="M61" s="54" t="s">
        <v>43</v>
      </c>
      <c r="N61" s="54" t="s">
        <v>43</v>
      </c>
      <c r="O61" s="54" t="s">
        <v>43</v>
      </c>
      <c r="P61" s="54" t="s">
        <v>43</v>
      </c>
      <c r="Q61" s="54" t="s">
        <v>43</v>
      </c>
      <c r="R61" s="69" t="s">
        <v>85</v>
      </c>
      <c r="S61" s="55" t="s">
        <v>0</v>
      </c>
      <c r="T61" s="1">
        <f>962.3-96.3-88.8</f>
        <v>777.2</v>
      </c>
      <c r="U61" s="1">
        <f>800-392-1.6</f>
        <v>406.4</v>
      </c>
      <c r="V61" s="1">
        <f>800-126</f>
        <v>674</v>
      </c>
      <c r="W61" s="1">
        <f>800+155</f>
        <v>955</v>
      </c>
      <c r="X61" s="1">
        <f>800+400+264.9-204.9</f>
        <v>1260</v>
      </c>
      <c r="Y61" s="1">
        <v>800</v>
      </c>
      <c r="Z61" s="1">
        <v>800</v>
      </c>
      <c r="AA61" s="59">
        <f>SUM(T61:Z61)</f>
        <v>5672.6</v>
      </c>
      <c r="AB61" s="58">
        <v>2024</v>
      </c>
      <c r="AC61" s="119"/>
    </row>
    <row r="62" spans="1:34" s="72" customFormat="1" ht="48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87</v>
      </c>
      <c r="S62" s="41" t="s">
        <v>38</v>
      </c>
      <c r="T62" s="44">
        <v>2</v>
      </c>
      <c r="U62" s="44">
        <v>2</v>
      </c>
      <c r="V62" s="44">
        <v>2</v>
      </c>
      <c r="W62" s="44">
        <v>3</v>
      </c>
      <c r="X62" s="44">
        <v>3</v>
      </c>
      <c r="Y62" s="44">
        <v>3</v>
      </c>
      <c r="Z62" s="44">
        <v>3</v>
      </c>
      <c r="AA62" s="49">
        <v>3</v>
      </c>
      <c r="AB62" s="41">
        <v>2024</v>
      </c>
      <c r="AC62" s="33"/>
    </row>
    <row r="63" spans="1:34" s="51" customFormat="1" ht="47.25" hidden="1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 t="s">
        <v>88</v>
      </c>
      <c r="S63" s="65" t="s">
        <v>8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7">
        <f>T63+U63+V63+W63+X63+Y63</f>
        <v>0</v>
      </c>
      <c r="AB63" s="23">
        <v>2023</v>
      </c>
      <c r="AC63" s="126"/>
      <c r="AD63" s="101"/>
      <c r="AE63" s="104"/>
    </row>
    <row r="64" spans="1:34" s="72" customFormat="1" ht="31.5" x14ac:dyDescent="0.25">
      <c r="A64" s="54" t="s">
        <v>18</v>
      </c>
      <c r="B64" s="54" t="s">
        <v>18</v>
      </c>
      <c r="C64" s="54" t="s">
        <v>25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43</v>
      </c>
      <c r="N64" s="54" t="s">
        <v>43</v>
      </c>
      <c r="O64" s="54" t="s">
        <v>43</v>
      </c>
      <c r="P64" s="54" t="s">
        <v>43</v>
      </c>
      <c r="Q64" s="54" t="s">
        <v>43</v>
      </c>
      <c r="R64" s="69" t="s">
        <v>89</v>
      </c>
      <c r="S64" s="55" t="s">
        <v>0</v>
      </c>
      <c r="T64" s="1">
        <f>646.8+300+1489-55+86.2-453.6</f>
        <v>2013.4</v>
      </c>
      <c r="U64" s="1">
        <f>600+369.3+0.6+20-270.2</f>
        <v>719.7</v>
      </c>
      <c r="V64" s="1">
        <f>600-42.7-13</f>
        <v>544.29999999999995</v>
      </c>
      <c r="W64" s="1">
        <f>600+100+91</f>
        <v>791</v>
      </c>
      <c r="X64" s="1">
        <v>1190</v>
      </c>
      <c r="Y64" s="1">
        <v>1390</v>
      </c>
      <c r="Z64" s="1">
        <f t="shared" ref="Z64" si="24">600+100</f>
        <v>700</v>
      </c>
      <c r="AA64" s="59">
        <f>SUM(T64:Z64)</f>
        <v>7348.4000000000005</v>
      </c>
      <c r="AB64" s="58">
        <v>2024</v>
      </c>
      <c r="AC64" s="119"/>
    </row>
    <row r="65" spans="1:34" s="72" customFormat="1" ht="47.2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90</v>
      </c>
      <c r="S65" s="41" t="s">
        <v>38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9">
        <v>1</v>
      </c>
      <c r="AB65" s="41">
        <v>2024</v>
      </c>
      <c r="AC65" s="33"/>
    </row>
    <row r="66" spans="1:34" s="72" customFormat="1" ht="31.5" x14ac:dyDescent="0.25">
      <c r="A66" s="54"/>
      <c r="B66" s="54"/>
      <c r="C66" s="54"/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18</v>
      </c>
      <c r="N66" s="54" t="s">
        <v>18</v>
      </c>
      <c r="O66" s="54" t="s">
        <v>18</v>
      </c>
      <c r="P66" s="54" t="s">
        <v>18</v>
      </c>
      <c r="Q66" s="54" t="s">
        <v>18</v>
      </c>
      <c r="R66" s="68" t="s">
        <v>91</v>
      </c>
      <c r="S66" s="58" t="s">
        <v>0</v>
      </c>
      <c r="T66" s="59">
        <f t="shared" ref="T66:Y66" si="25">T68+T74+T81</f>
        <v>3922.5999999999995</v>
      </c>
      <c r="U66" s="59">
        <f t="shared" si="25"/>
        <v>4901.3</v>
      </c>
      <c r="V66" s="59">
        <f>V68+V74+V81</f>
        <v>5627.7999999999993</v>
      </c>
      <c r="W66" s="59">
        <f t="shared" si="25"/>
        <v>5467.3</v>
      </c>
      <c r="X66" s="59">
        <f t="shared" si="25"/>
        <v>7364.5999999999995</v>
      </c>
      <c r="Y66" s="59">
        <f t="shared" si="25"/>
        <v>3045.3</v>
      </c>
      <c r="Z66" s="59">
        <f t="shared" ref="Z66" si="26">Z68+Z74+Z81</f>
        <v>3045.3</v>
      </c>
      <c r="AA66" s="59">
        <f>SUM(T66:Z66)</f>
        <v>33374.199999999997</v>
      </c>
      <c r="AB66" s="58">
        <v>2024</v>
      </c>
      <c r="AC66" s="119"/>
    </row>
    <row r="67" spans="1:34" s="51" customFormat="1" ht="31.1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61" t="s">
        <v>92</v>
      </c>
      <c r="S67" s="152" t="s">
        <v>38</v>
      </c>
      <c r="T67" s="2">
        <f t="shared" ref="T67:Y67" si="27">T73+T80+T85</f>
        <v>20</v>
      </c>
      <c r="U67" s="2">
        <f t="shared" si="27"/>
        <v>20</v>
      </c>
      <c r="V67" s="2">
        <f t="shared" si="27"/>
        <v>20</v>
      </c>
      <c r="W67" s="2">
        <f t="shared" si="27"/>
        <v>20</v>
      </c>
      <c r="X67" s="2">
        <f t="shared" si="27"/>
        <v>20</v>
      </c>
      <c r="Y67" s="2">
        <f t="shared" si="27"/>
        <v>20</v>
      </c>
      <c r="Z67" s="2">
        <f t="shared" ref="Z67" si="28">Z73+Z80+Z85</f>
        <v>20</v>
      </c>
      <c r="AA67" s="49">
        <v>20</v>
      </c>
      <c r="AB67" s="41">
        <v>2024</v>
      </c>
      <c r="AC67" s="33"/>
    </row>
    <row r="68" spans="1:34" s="72" customFormat="1" ht="31.5" customHeight="1" x14ac:dyDescent="0.25">
      <c r="A68" s="54" t="s">
        <v>18</v>
      </c>
      <c r="B68" s="54" t="s">
        <v>18</v>
      </c>
      <c r="C68" s="54" t="s">
        <v>22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18</v>
      </c>
      <c r="N68" s="54" t="s">
        <v>18</v>
      </c>
      <c r="O68" s="54" t="s">
        <v>18</v>
      </c>
      <c r="P68" s="54" t="s">
        <v>18</v>
      </c>
      <c r="Q68" s="54" t="s">
        <v>18</v>
      </c>
      <c r="R68" s="175" t="s">
        <v>93</v>
      </c>
      <c r="S68" s="183" t="s">
        <v>0</v>
      </c>
      <c r="T68" s="1">
        <f>SUM(T69:T72)</f>
        <v>1324.5</v>
      </c>
      <c r="U68" s="1">
        <f t="shared" ref="U68:Z68" si="29">SUM(U69:U72)</f>
        <v>1333.6999999999998</v>
      </c>
      <c r="V68" s="1">
        <f t="shared" si="29"/>
        <v>855.10000000000014</v>
      </c>
      <c r="W68" s="1">
        <f t="shared" si="29"/>
        <v>718.9</v>
      </c>
      <c r="X68" s="1">
        <f t="shared" si="29"/>
        <v>5363.7</v>
      </c>
      <c r="Y68" s="1">
        <f t="shared" si="29"/>
        <v>619.5</v>
      </c>
      <c r="Z68" s="1">
        <f t="shared" si="29"/>
        <v>619.5</v>
      </c>
      <c r="AA68" s="59">
        <f>SUM(T68:Z68)</f>
        <v>10834.9</v>
      </c>
      <c r="AB68" s="58">
        <v>2024</v>
      </c>
      <c r="AC68" s="118"/>
      <c r="AD68" s="108"/>
      <c r="AE68" s="108"/>
      <c r="AG68" s="109"/>
      <c r="AH68" s="108"/>
    </row>
    <row r="69" spans="1:34" s="72" customFormat="1" x14ac:dyDescent="0.25">
      <c r="A69" s="54" t="s">
        <v>18</v>
      </c>
      <c r="B69" s="54" t="s">
        <v>18</v>
      </c>
      <c r="C69" s="54" t="s">
        <v>22</v>
      </c>
      <c r="D69" s="54" t="s">
        <v>18</v>
      </c>
      <c r="E69" s="54" t="s">
        <v>21</v>
      </c>
      <c r="F69" s="54" t="s">
        <v>18</v>
      </c>
      <c r="G69" s="54" t="s">
        <v>22</v>
      </c>
      <c r="H69" s="54" t="s">
        <v>19</v>
      </c>
      <c r="I69" s="54" t="s">
        <v>24</v>
      </c>
      <c r="J69" s="54" t="s">
        <v>18</v>
      </c>
      <c r="K69" s="54" t="s">
        <v>18</v>
      </c>
      <c r="L69" s="54" t="s">
        <v>19</v>
      </c>
      <c r="M69" s="54" t="s">
        <v>18</v>
      </c>
      <c r="N69" s="54" t="s">
        <v>18</v>
      </c>
      <c r="O69" s="54" t="s">
        <v>23</v>
      </c>
      <c r="P69" s="54" t="s">
        <v>19</v>
      </c>
      <c r="Q69" s="54" t="s">
        <v>24</v>
      </c>
      <c r="R69" s="176"/>
      <c r="S69" s="184"/>
      <c r="T69" s="1">
        <v>0</v>
      </c>
      <c r="U69" s="1">
        <v>0</v>
      </c>
      <c r="V69" s="1">
        <v>0</v>
      </c>
      <c r="W69" s="1">
        <v>0</v>
      </c>
      <c r="X69" s="1">
        <v>99.4</v>
      </c>
      <c r="Y69" s="1">
        <v>0</v>
      </c>
      <c r="Z69" s="1">
        <v>0</v>
      </c>
      <c r="AA69" s="59">
        <f t="shared" ref="AA69:AA72" si="30">SUM(T69:Z69)</f>
        <v>99.4</v>
      </c>
      <c r="AB69" s="58">
        <v>2022</v>
      </c>
      <c r="AC69" s="119"/>
    </row>
    <row r="70" spans="1:34" s="72" customFormat="1" x14ac:dyDescent="0.25">
      <c r="A70" s="54" t="s">
        <v>18</v>
      </c>
      <c r="B70" s="54" t="s">
        <v>18</v>
      </c>
      <c r="C70" s="54" t="s">
        <v>22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19</v>
      </c>
      <c r="N70" s="54" t="s">
        <v>18</v>
      </c>
      <c r="O70" s="54" t="s">
        <v>23</v>
      </c>
      <c r="P70" s="54" t="s">
        <v>19</v>
      </c>
      <c r="Q70" s="54" t="s">
        <v>24</v>
      </c>
      <c r="R70" s="176"/>
      <c r="S70" s="184"/>
      <c r="T70" s="1">
        <v>0</v>
      </c>
      <c r="U70" s="1">
        <v>0</v>
      </c>
      <c r="V70" s="1">
        <v>0</v>
      </c>
      <c r="W70" s="1">
        <v>0</v>
      </c>
      <c r="X70" s="1">
        <v>4179.7</v>
      </c>
      <c r="Y70" s="1">
        <v>0</v>
      </c>
      <c r="Z70" s="1">
        <v>0</v>
      </c>
      <c r="AA70" s="59">
        <f t="shared" si="30"/>
        <v>4179.7</v>
      </c>
      <c r="AB70" s="58">
        <v>2022</v>
      </c>
      <c r="AC70" s="119"/>
    </row>
    <row r="71" spans="1:34" s="72" customFormat="1" x14ac:dyDescent="0.25">
      <c r="A71" s="54" t="s">
        <v>18</v>
      </c>
      <c r="B71" s="54" t="s">
        <v>18</v>
      </c>
      <c r="C71" s="54" t="s">
        <v>22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37</v>
      </c>
      <c r="N71" s="54" t="s">
        <v>18</v>
      </c>
      <c r="O71" s="54" t="s">
        <v>23</v>
      </c>
      <c r="P71" s="54" t="s">
        <v>19</v>
      </c>
      <c r="Q71" s="54" t="s">
        <v>24</v>
      </c>
      <c r="R71" s="176"/>
      <c r="S71" s="184"/>
      <c r="T71" s="1">
        <v>0</v>
      </c>
      <c r="U71" s="1">
        <v>0</v>
      </c>
      <c r="V71" s="1">
        <v>0</v>
      </c>
      <c r="W71" s="1">
        <v>0</v>
      </c>
      <c r="X71" s="1">
        <v>464.5</v>
      </c>
      <c r="Y71" s="1">
        <v>0</v>
      </c>
      <c r="Z71" s="1">
        <v>0</v>
      </c>
      <c r="AA71" s="59">
        <f t="shared" si="30"/>
        <v>464.5</v>
      </c>
      <c r="AB71" s="58">
        <v>2022</v>
      </c>
      <c r="AC71" s="119"/>
    </row>
    <row r="72" spans="1:34" s="72" customFormat="1" x14ac:dyDescent="0.25">
      <c r="A72" s="54" t="s">
        <v>18</v>
      </c>
      <c r="B72" s="54" t="s">
        <v>18</v>
      </c>
      <c r="C72" s="54" t="s">
        <v>22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43</v>
      </c>
      <c r="N72" s="54" t="s">
        <v>43</v>
      </c>
      <c r="O72" s="54" t="s">
        <v>43</v>
      </c>
      <c r="P72" s="54" t="s">
        <v>43</v>
      </c>
      <c r="Q72" s="54" t="s">
        <v>43</v>
      </c>
      <c r="R72" s="177"/>
      <c r="S72" s="185"/>
      <c r="T72" s="1">
        <f>2867.4-463.9-79-1000</f>
        <v>1324.5</v>
      </c>
      <c r="U72" s="1">
        <f>1867.4-227.9-273.9-31.9</f>
        <v>1333.6999999999998</v>
      </c>
      <c r="V72" s="1">
        <f>1867.4-1012.3</f>
        <v>855.10000000000014</v>
      </c>
      <c r="W72" s="1">
        <f>619.5+120.1-20.7</f>
        <v>718.9</v>
      </c>
      <c r="X72" s="1">
        <v>620.1</v>
      </c>
      <c r="Y72" s="1">
        <v>619.5</v>
      </c>
      <c r="Z72" s="1">
        <v>619.5</v>
      </c>
      <c r="AA72" s="59">
        <f t="shared" si="30"/>
        <v>6091.3</v>
      </c>
      <c r="AB72" s="58">
        <v>2024</v>
      </c>
      <c r="AC72" s="119"/>
    </row>
    <row r="73" spans="1:34" s="51" customFormat="1" ht="47.25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8" t="s">
        <v>94</v>
      </c>
      <c r="S73" s="41" t="s">
        <v>38</v>
      </c>
      <c r="T73" s="2">
        <v>14</v>
      </c>
      <c r="U73" s="2">
        <v>14</v>
      </c>
      <c r="V73" s="2">
        <v>14</v>
      </c>
      <c r="W73" s="2">
        <v>14</v>
      </c>
      <c r="X73" s="44">
        <v>14</v>
      </c>
      <c r="Y73" s="44">
        <v>14</v>
      </c>
      <c r="Z73" s="44">
        <v>14</v>
      </c>
      <c r="AA73" s="49">
        <v>14</v>
      </c>
      <c r="AB73" s="41">
        <v>2024</v>
      </c>
      <c r="AC73" s="33"/>
    </row>
    <row r="74" spans="1:34" s="72" customFormat="1" x14ac:dyDescent="0.25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18</v>
      </c>
      <c r="N74" s="54" t="s">
        <v>18</v>
      </c>
      <c r="O74" s="54" t="s">
        <v>18</v>
      </c>
      <c r="P74" s="54" t="s">
        <v>18</v>
      </c>
      <c r="Q74" s="54" t="s">
        <v>18</v>
      </c>
      <c r="R74" s="172" t="s">
        <v>93</v>
      </c>
      <c r="S74" s="183" t="s">
        <v>0</v>
      </c>
      <c r="T74" s="1">
        <f>SUM(T75:T79)</f>
        <v>501.8</v>
      </c>
      <c r="U74" s="1">
        <f t="shared" ref="U74:Z74" si="31">SUM(U75:U79)</f>
        <v>1483.3</v>
      </c>
      <c r="V74" s="1">
        <f t="shared" si="31"/>
        <v>1744.9</v>
      </c>
      <c r="W74" s="1">
        <f t="shared" si="31"/>
        <v>3236.9</v>
      </c>
      <c r="X74" s="1">
        <f t="shared" si="31"/>
        <v>635.20000000000005</v>
      </c>
      <c r="Y74" s="1">
        <f t="shared" si="31"/>
        <v>870.5</v>
      </c>
      <c r="Z74" s="1">
        <f t="shared" si="31"/>
        <v>870.5</v>
      </c>
      <c r="AA74" s="59">
        <f>SUM(T74:Z74)</f>
        <v>9343.0999999999985</v>
      </c>
      <c r="AB74" s="58">
        <v>2024</v>
      </c>
      <c r="AC74" s="119"/>
    </row>
    <row r="75" spans="1:34" s="72" customFormat="1" x14ac:dyDescent="0.25">
      <c r="A75" s="54" t="s">
        <v>18</v>
      </c>
      <c r="B75" s="54" t="s">
        <v>18</v>
      </c>
      <c r="C75" s="54" t="s">
        <v>24</v>
      </c>
      <c r="D75" s="54" t="s">
        <v>18</v>
      </c>
      <c r="E75" s="54" t="s">
        <v>21</v>
      </c>
      <c r="F75" s="54" t="s">
        <v>18</v>
      </c>
      <c r="G75" s="54" t="s">
        <v>22</v>
      </c>
      <c r="H75" s="54" t="s">
        <v>19</v>
      </c>
      <c r="I75" s="54" t="s">
        <v>24</v>
      </c>
      <c r="J75" s="54" t="s">
        <v>18</v>
      </c>
      <c r="K75" s="54" t="s">
        <v>18</v>
      </c>
      <c r="L75" s="54" t="s">
        <v>19</v>
      </c>
      <c r="M75" s="54" t="s">
        <v>19</v>
      </c>
      <c r="N75" s="54" t="s">
        <v>18</v>
      </c>
      <c r="O75" s="54" t="s">
        <v>20</v>
      </c>
      <c r="P75" s="54" t="s">
        <v>169</v>
      </c>
      <c r="Q75" s="54" t="s">
        <v>18</v>
      </c>
      <c r="R75" s="172"/>
      <c r="S75" s="184"/>
      <c r="T75" s="1">
        <v>0</v>
      </c>
      <c r="U75" s="1">
        <v>685.2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59">
        <f t="shared" ref="AA75:AA79" si="32">SUM(T75:Z75)</f>
        <v>685.2</v>
      </c>
      <c r="AB75" s="58">
        <v>2019</v>
      </c>
      <c r="AC75" s="119"/>
    </row>
    <row r="76" spans="1:34" s="72" customFormat="1" x14ac:dyDescent="0.25">
      <c r="A76" s="54" t="s">
        <v>18</v>
      </c>
      <c r="B76" s="54" t="s">
        <v>18</v>
      </c>
      <c r="C76" s="54" t="s">
        <v>24</v>
      </c>
      <c r="D76" s="54" t="s">
        <v>18</v>
      </c>
      <c r="E76" s="54" t="s">
        <v>21</v>
      </c>
      <c r="F76" s="54" t="s">
        <v>18</v>
      </c>
      <c r="G76" s="54" t="s">
        <v>22</v>
      </c>
      <c r="H76" s="54" t="s">
        <v>19</v>
      </c>
      <c r="I76" s="54" t="s">
        <v>24</v>
      </c>
      <c r="J76" s="54" t="s">
        <v>18</v>
      </c>
      <c r="K76" s="54" t="s">
        <v>18</v>
      </c>
      <c r="L76" s="54" t="s">
        <v>19</v>
      </c>
      <c r="M76" s="54" t="s">
        <v>37</v>
      </c>
      <c r="N76" s="54" t="s">
        <v>18</v>
      </c>
      <c r="O76" s="54" t="s">
        <v>20</v>
      </c>
      <c r="P76" s="54" t="s">
        <v>169</v>
      </c>
      <c r="Q76" s="54" t="s">
        <v>18</v>
      </c>
      <c r="R76" s="172"/>
      <c r="S76" s="184"/>
      <c r="T76" s="1">
        <v>0</v>
      </c>
      <c r="U76" s="1">
        <f>685.2-212.4</f>
        <v>472.80000000000007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59">
        <f t="shared" si="32"/>
        <v>472.80000000000007</v>
      </c>
      <c r="AB76" s="58">
        <v>2019</v>
      </c>
      <c r="AC76" s="119"/>
    </row>
    <row r="77" spans="1:34" s="72" customFormat="1" x14ac:dyDescent="0.25">
      <c r="A77" s="54" t="s">
        <v>18</v>
      </c>
      <c r="B77" s="54" t="s">
        <v>18</v>
      </c>
      <c r="C77" s="54" t="s">
        <v>24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19</v>
      </c>
      <c r="N77" s="54" t="s">
        <v>18</v>
      </c>
      <c r="O77" s="54" t="s">
        <v>23</v>
      </c>
      <c r="P77" s="54" t="s">
        <v>19</v>
      </c>
      <c r="Q77" s="54" t="s">
        <v>19</v>
      </c>
      <c r="R77" s="172"/>
      <c r="S77" s="184"/>
      <c r="T77" s="1">
        <v>0</v>
      </c>
      <c r="U77" s="1">
        <v>0</v>
      </c>
      <c r="V77" s="1">
        <v>1100</v>
      </c>
      <c r="W77" s="1">
        <f>0+2308.5</f>
        <v>2308.5</v>
      </c>
      <c r="X77" s="1">
        <v>0</v>
      </c>
      <c r="Y77" s="1">
        <v>0</v>
      </c>
      <c r="Z77" s="1">
        <v>0</v>
      </c>
      <c r="AA77" s="59">
        <f t="shared" si="32"/>
        <v>3408.5</v>
      </c>
      <c r="AB77" s="58">
        <v>2021</v>
      </c>
      <c r="AC77" s="119"/>
    </row>
    <row r="78" spans="1:34" s="72" customFormat="1" x14ac:dyDescent="0.25">
      <c r="A78" s="54" t="s">
        <v>18</v>
      </c>
      <c r="B78" s="54" t="s">
        <v>18</v>
      </c>
      <c r="C78" s="54" t="s">
        <v>24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37</v>
      </c>
      <c r="N78" s="54" t="s">
        <v>18</v>
      </c>
      <c r="O78" s="54" t="s">
        <v>23</v>
      </c>
      <c r="P78" s="54" t="s">
        <v>19</v>
      </c>
      <c r="Q78" s="54" t="s">
        <v>19</v>
      </c>
      <c r="R78" s="172"/>
      <c r="S78" s="184"/>
      <c r="T78" s="1">
        <v>0</v>
      </c>
      <c r="U78" s="1">
        <v>0</v>
      </c>
      <c r="V78" s="1">
        <f>149.5-11</f>
        <v>138.5</v>
      </c>
      <c r="W78" s="1">
        <f>0+393.6-49.2</f>
        <v>344.40000000000003</v>
      </c>
      <c r="X78" s="1">
        <v>0</v>
      </c>
      <c r="Y78" s="1">
        <v>0</v>
      </c>
      <c r="Z78" s="1">
        <v>0</v>
      </c>
      <c r="AA78" s="59">
        <f t="shared" si="32"/>
        <v>482.90000000000003</v>
      </c>
      <c r="AB78" s="58">
        <v>2021</v>
      </c>
      <c r="AC78" s="119"/>
    </row>
    <row r="79" spans="1:34" s="72" customFormat="1" x14ac:dyDescent="0.25">
      <c r="A79" s="54" t="s">
        <v>18</v>
      </c>
      <c r="B79" s="54" t="s">
        <v>18</v>
      </c>
      <c r="C79" s="54" t="s">
        <v>24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43</v>
      </c>
      <c r="N79" s="54" t="s">
        <v>43</v>
      </c>
      <c r="O79" s="54" t="s">
        <v>43</v>
      </c>
      <c r="P79" s="54" t="s">
        <v>43</v>
      </c>
      <c r="Q79" s="54" t="s">
        <v>43</v>
      </c>
      <c r="R79" s="172"/>
      <c r="S79" s="185"/>
      <c r="T79" s="1">
        <v>501.8</v>
      </c>
      <c r="U79" s="1">
        <v>325.3</v>
      </c>
      <c r="V79" s="1">
        <f>870.5-149.5-214.6</f>
        <v>506.4</v>
      </c>
      <c r="W79" s="1">
        <f>870.5-335.7+49.2</f>
        <v>584</v>
      </c>
      <c r="X79" s="1">
        <f>870.5-363-22.3+150</f>
        <v>635.20000000000005</v>
      </c>
      <c r="Y79" s="1">
        <v>870.5</v>
      </c>
      <c r="Z79" s="1">
        <v>870.5</v>
      </c>
      <c r="AA79" s="59">
        <f t="shared" si="32"/>
        <v>4293.7</v>
      </c>
      <c r="AB79" s="58">
        <v>2024</v>
      </c>
      <c r="AC79" s="119"/>
    </row>
    <row r="80" spans="1:34" s="51" customFormat="1" ht="48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8" t="s">
        <v>95</v>
      </c>
      <c r="S80" s="41" t="s">
        <v>38</v>
      </c>
      <c r="T80" s="2">
        <v>1</v>
      </c>
      <c r="U80" s="2">
        <v>1</v>
      </c>
      <c r="V80" s="44">
        <v>1</v>
      </c>
      <c r="W80" s="2">
        <v>1</v>
      </c>
      <c r="X80" s="2">
        <v>1</v>
      </c>
      <c r="Y80" s="2">
        <v>1</v>
      </c>
      <c r="Z80" s="2">
        <v>1</v>
      </c>
      <c r="AA80" s="45">
        <v>1</v>
      </c>
      <c r="AB80" s="41">
        <v>2024</v>
      </c>
      <c r="AC80" s="126"/>
      <c r="AD80" s="108"/>
      <c r="AE80" s="50"/>
    </row>
    <row r="81" spans="1:30" s="72" customFormat="1" x14ac:dyDescent="0.25">
      <c r="A81" s="54" t="s">
        <v>18</v>
      </c>
      <c r="B81" s="54" t="s">
        <v>18</v>
      </c>
      <c r="C81" s="54" t="s">
        <v>21</v>
      </c>
      <c r="D81" s="54" t="s">
        <v>18</v>
      </c>
      <c r="E81" s="54" t="s">
        <v>21</v>
      </c>
      <c r="F81" s="54" t="s">
        <v>18</v>
      </c>
      <c r="G81" s="54" t="s">
        <v>22</v>
      </c>
      <c r="H81" s="54" t="s">
        <v>19</v>
      </c>
      <c r="I81" s="54" t="s">
        <v>24</v>
      </c>
      <c r="J81" s="54" t="s">
        <v>18</v>
      </c>
      <c r="K81" s="54" t="s">
        <v>18</v>
      </c>
      <c r="L81" s="54" t="s">
        <v>19</v>
      </c>
      <c r="M81" s="54" t="s">
        <v>18</v>
      </c>
      <c r="N81" s="54" t="s">
        <v>18</v>
      </c>
      <c r="O81" s="54" t="s">
        <v>18</v>
      </c>
      <c r="P81" s="54" t="s">
        <v>18</v>
      </c>
      <c r="Q81" s="54" t="s">
        <v>18</v>
      </c>
      <c r="R81" s="175" t="s">
        <v>96</v>
      </c>
      <c r="S81" s="183" t="s">
        <v>0</v>
      </c>
      <c r="T81" s="1">
        <f>T82+T83+T84</f>
        <v>2096.2999999999997</v>
      </c>
      <c r="U81" s="1">
        <f t="shared" ref="U81:Z81" si="33">U82+U83+U84</f>
        <v>2084.3000000000002</v>
      </c>
      <c r="V81" s="1">
        <f t="shared" si="33"/>
        <v>3027.7999999999997</v>
      </c>
      <c r="W81" s="1">
        <f t="shared" si="33"/>
        <v>1511.5</v>
      </c>
      <c r="X81" s="1">
        <f t="shared" si="33"/>
        <v>1365.7</v>
      </c>
      <c r="Y81" s="1">
        <f t="shared" si="33"/>
        <v>1555.3</v>
      </c>
      <c r="Z81" s="1">
        <f t="shared" si="33"/>
        <v>1555.3</v>
      </c>
      <c r="AA81" s="59">
        <f>SUM(T81:Z81)</f>
        <v>13196.199999999999</v>
      </c>
      <c r="AB81" s="58">
        <v>2024</v>
      </c>
      <c r="AC81" s="119"/>
    </row>
    <row r="82" spans="1:30" s="72" customFormat="1" x14ac:dyDescent="0.25">
      <c r="A82" s="54" t="s">
        <v>18</v>
      </c>
      <c r="B82" s="54" t="s">
        <v>18</v>
      </c>
      <c r="C82" s="54" t="s">
        <v>21</v>
      </c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19</v>
      </c>
      <c r="N82" s="54" t="s">
        <v>18</v>
      </c>
      <c r="O82" s="54" t="s">
        <v>23</v>
      </c>
      <c r="P82" s="54" t="s">
        <v>19</v>
      </c>
      <c r="Q82" s="54" t="s">
        <v>20</v>
      </c>
      <c r="R82" s="176"/>
      <c r="S82" s="184"/>
      <c r="T82" s="1">
        <v>0</v>
      </c>
      <c r="U82" s="1">
        <v>0</v>
      </c>
      <c r="V82" s="1">
        <v>1100</v>
      </c>
      <c r="W82" s="1">
        <v>0</v>
      </c>
      <c r="X82" s="1">
        <v>0</v>
      </c>
      <c r="Y82" s="1">
        <v>0</v>
      </c>
      <c r="Z82" s="1">
        <v>0</v>
      </c>
      <c r="AA82" s="59">
        <f t="shared" ref="AA82:AA84" si="34">SUM(T82:Z82)</f>
        <v>1100</v>
      </c>
      <c r="AB82" s="58">
        <v>2020</v>
      </c>
      <c r="AC82" s="119"/>
    </row>
    <row r="83" spans="1:30" s="72" customFormat="1" x14ac:dyDescent="0.25">
      <c r="A83" s="54" t="s">
        <v>18</v>
      </c>
      <c r="B83" s="54" t="s">
        <v>18</v>
      </c>
      <c r="C83" s="54" t="s">
        <v>21</v>
      </c>
      <c r="D83" s="54" t="s">
        <v>18</v>
      </c>
      <c r="E83" s="54" t="s">
        <v>21</v>
      </c>
      <c r="F83" s="54" t="s">
        <v>18</v>
      </c>
      <c r="G83" s="54" t="s">
        <v>22</v>
      </c>
      <c r="H83" s="54" t="s">
        <v>19</v>
      </c>
      <c r="I83" s="54" t="s">
        <v>24</v>
      </c>
      <c r="J83" s="54" t="s">
        <v>18</v>
      </c>
      <c r="K83" s="54" t="s">
        <v>18</v>
      </c>
      <c r="L83" s="54" t="s">
        <v>19</v>
      </c>
      <c r="M83" s="54" t="s">
        <v>37</v>
      </c>
      <c r="N83" s="54" t="s">
        <v>18</v>
      </c>
      <c r="O83" s="54" t="s">
        <v>23</v>
      </c>
      <c r="P83" s="54" t="s">
        <v>19</v>
      </c>
      <c r="Q83" s="54" t="s">
        <v>20</v>
      </c>
      <c r="R83" s="176"/>
      <c r="S83" s="184"/>
      <c r="T83" s="1">
        <v>0</v>
      </c>
      <c r="U83" s="1">
        <v>0</v>
      </c>
      <c r="V83" s="1">
        <f>111-71.5</f>
        <v>39.5</v>
      </c>
      <c r="W83" s="1">
        <v>0</v>
      </c>
      <c r="X83" s="1">
        <v>0</v>
      </c>
      <c r="Y83" s="1">
        <v>0</v>
      </c>
      <c r="Z83" s="1">
        <v>0</v>
      </c>
      <c r="AA83" s="59">
        <f t="shared" si="34"/>
        <v>39.5</v>
      </c>
      <c r="AB83" s="58">
        <v>2020</v>
      </c>
      <c r="AC83" s="119"/>
    </row>
    <row r="84" spans="1:30" s="72" customFormat="1" x14ac:dyDescent="0.25">
      <c r="A84" s="54" t="s">
        <v>18</v>
      </c>
      <c r="B84" s="54" t="s">
        <v>18</v>
      </c>
      <c r="C84" s="54" t="s">
        <v>21</v>
      </c>
      <c r="D84" s="54" t="s">
        <v>18</v>
      </c>
      <c r="E84" s="54" t="s">
        <v>21</v>
      </c>
      <c r="F84" s="54" t="s">
        <v>18</v>
      </c>
      <c r="G84" s="54" t="s">
        <v>22</v>
      </c>
      <c r="H84" s="54" t="s">
        <v>19</v>
      </c>
      <c r="I84" s="54" t="s">
        <v>24</v>
      </c>
      <c r="J84" s="54" t="s">
        <v>18</v>
      </c>
      <c r="K84" s="54" t="s">
        <v>18</v>
      </c>
      <c r="L84" s="54" t="s">
        <v>19</v>
      </c>
      <c r="M84" s="54" t="s">
        <v>43</v>
      </c>
      <c r="N84" s="54" t="s">
        <v>43</v>
      </c>
      <c r="O84" s="54" t="s">
        <v>43</v>
      </c>
      <c r="P84" s="54" t="s">
        <v>43</v>
      </c>
      <c r="Q84" s="54" t="s">
        <v>43</v>
      </c>
      <c r="R84" s="177"/>
      <c r="S84" s="185"/>
      <c r="T84" s="1">
        <f>3665-832.4-710-26.3</f>
        <v>2096.2999999999997</v>
      </c>
      <c r="U84" s="1">
        <f>3624.7-120.3-282.1-1110.8-27.2</f>
        <v>2084.3000000000002</v>
      </c>
      <c r="V84" s="1">
        <f>3624.7-553-111-1072.4</f>
        <v>1888.2999999999997</v>
      </c>
      <c r="W84" s="1">
        <f>1555.3-43.8</f>
        <v>1511.5</v>
      </c>
      <c r="X84" s="1">
        <f>1555.3+120-264.9-44.7</f>
        <v>1365.7</v>
      </c>
      <c r="Y84" s="1">
        <v>1555.3</v>
      </c>
      <c r="Z84" s="1">
        <v>1555.3</v>
      </c>
      <c r="AA84" s="59">
        <f t="shared" si="34"/>
        <v>12056.699999999999</v>
      </c>
      <c r="AB84" s="58">
        <v>2024</v>
      </c>
      <c r="AC84" s="119"/>
    </row>
    <row r="85" spans="1:30" s="72" customFormat="1" ht="48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8" t="s">
        <v>97</v>
      </c>
      <c r="S85" s="41" t="s">
        <v>38</v>
      </c>
      <c r="T85" s="44">
        <v>5</v>
      </c>
      <c r="U85" s="44">
        <v>5</v>
      </c>
      <c r="V85" s="44">
        <v>5</v>
      </c>
      <c r="W85" s="44">
        <v>5</v>
      </c>
      <c r="X85" s="44">
        <v>5</v>
      </c>
      <c r="Y85" s="44">
        <v>5</v>
      </c>
      <c r="Z85" s="44">
        <v>5</v>
      </c>
      <c r="AA85" s="49">
        <v>5</v>
      </c>
      <c r="AB85" s="41">
        <v>2024</v>
      </c>
      <c r="AC85" s="122"/>
      <c r="AD85" s="108"/>
    </row>
    <row r="86" spans="1:30" s="72" customFormat="1" ht="31.5" x14ac:dyDescent="0.25">
      <c r="A86" s="54"/>
      <c r="B86" s="54"/>
      <c r="C86" s="54"/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43</v>
      </c>
      <c r="N86" s="54" t="s">
        <v>43</v>
      </c>
      <c r="O86" s="54" t="s">
        <v>43</v>
      </c>
      <c r="P86" s="54" t="s">
        <v>43</v>
      </c>
      <c r="Q86" s="54" t="s">
        <v>43</v>
      </c>
      <c r="R86" s="68" t="s">
        <v>98</v>
      </c>
      <c r="S86" s="58" t="s">
        <v>0</v>
      </c>
      <c r="T86" s="59">
        <f t="shared" ref="T86:Y86" si="35">T90+T94+T98+T102+T106</f>
        <v>4566.3999999999996</v>
      </c>
      <c r="U86" s="59">
        <f>U90+U94+U98+U102+U106</f>
        <v>7525.4000000000005</v>
      </c>
      <c r="V86" s="59">
        <f t="shared" si="35"/>
        <v>8494.6</v>
      </c>
      <c r="W86" s="59">
        <f t="shared" si="35"/>
        <v>11214.1</v>
      </c>
      <c r="X86" s="59">
        <f t="shared" si="35"/>
        <v>7208.4000000000005</v>
      </c>
      <c r="Y86" s="59">
        <f t="shared" si="35"/>
        <v>6182.2</v>
      </c>
      <c r="Z86" s="59">
        <f t="shared" ref="Z86" si="36">Z90+Z94+Z98+Z102+Z106</f>
        <v>6400</v>
      </c>
      <c r="AA86" s="59">
        <f>SUM(T86:Z86)</f>
        <v>51591.1</v>
      </c>
      <c r="AB86" s="58">
        <v>2024</v>
      </c>
      <c r="AC86" s="119"/>
    </row>
    <row r="87" spans="1:30" s="72" customFormat="1" ht="47.25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61" t="s">
        <v>99</v>
      </c>
      <c r="S87" s="152" t="s">
        <v>38</v>
      </c>
      <c r="T87" s="44">
        <f t="shared" ref="T87:Y88" si="37">T91+T95+T99+T103</f>
        <v>65</v>
      </c>
      <c r="U87" s="44">
        <f t="shared" si="37"/>
        <v>198</v>
      </c>
      <c r="V87" s="44">
        <f t="shared" si="37"/>
        <v>310</v>
      </c>
      <c r="W87" s="44">
        <f t="shared" si="37"/>
        <v>136</v>
      </c>
      <c r="X87" s="44">
        <f t="shared" si="37"/>
        <v>90</v>
      </c>
      <c r="Y87" s="44">
        <f t="shared" si="37"/>
        <v>146</v>
      </c>
      <c r="Z87" s="44">
        <f t="shared" ref="Z87" si="38">Z91+Z95+Z99+Z103</f>
        <v>146</v>
      </c>
      <c r="AA87" s="49">
        <f>SUM(T87:Z87)</f>
        <v>1091</v>
      </c>
      <c r="AB87" s="152">
        <v>2024</v>
      </c>
      <c r="AC87" s="33"/>
    </row>
    <row r="88" spans="1:30" s="72" customFormat="1" ht="31.5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61" t="s">
        <v>100</v>
      </c>
      <c r="S88" s="152" t="s">
        <v>38</v>
      </c>
      <c r="T88" s="44">
        <f t="shared" si="37"/>
        <v>16</v>
      </c>
      <c r="U88" s="44">
        <f t="shared" si="37"/>
        <v>16</v>
      </c>
      <c r="V88" s="44">
        <f t="shared" si="37"/>
        <v>19</v>
      </c>
      <c r="W88" s="44">
        <f t="shared" si="37"/>
        <v>18</v>
      </c>
      <c r="X88" s="44">
        <f t="shared" si="37"/>
        <v>17</v>
      </c>
      <c r="Y88" s="44">
        <f t="shared" si="37"/>
        <v>19</v>
      </c>
      <c r="Z88" s="44">
        <f t="shared" ref="Z88" si="39">Z92+Z96+Z100+Z104</f>
        <v>19</v>
      </c>
      <c r="AA88" s="49">
        <v>17</v>
      </c>
      <c r="AB88" s="152">
        <v>2024</v>
      </c>
      <c r="AC88" s="33"/>
    </row>
    <row r="89" spans="1:30" ht="46.9" customHeight="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292</v>
      </c>
      <c r="S89" s="152" t="s">
        <v>38</v>
      </c>
      <c r="T89" s="44">
        <f>T93+T97+T101+T107+T105</f>
        <v>25</v>
      </c>
      <c r="U89" s="44">
        <f>U93+U97+U101+U107+U105</f>
        <v>77</v>
      </c>
      <c r="V89" s="44">
        <f>V93+V97+V101+V107+V105</f>
        <v>74</v>
      </c>
      <c r="W89" s="44">
        <f t="shared" ref="W89:Y89" si="40">W93+W97+W101+W107+W105</f>
        <v>63</v>
      </c>
      <c r="X89" s="44">
        <f t="shared" si="40"/>
        <v>45</v>
      </c>
      <c r="Y89" s="44">
        <f t="shared" si="40"/>
        <v>34</v>
      </c>
      <c r="Z89" s="44">
        <f t="shared" ref="Z89" si="41">Z93+Z97+Z101+Z107+Z105</f>
        <v>34</v>
      </c>
      <c r="AA89" s="49">
        <f>SUM(T89:Z89)</f>
        <v>352</v>
      </c>
      <c r="AB89" s="152">
        <v>2024</v>
      </c>
      <c r="AC89" s="122"/>
      <c r="AD89" s="101"/>
    </row>
    <row r="90" spans="1:30" ht="31.5" x14ac:dyDescent="0.25">
      <c r="A90" s="54" t="s">
        <v>18</v>
      </c>
      <c r="B90" s="54" t="s">
        <v>18</v>
      </c>
      <c r="C90" s="54" t="s">
        <v>22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43</v>
      </c>
      <c r="N90" s="54" t="s">
        <v>43</v>
      </c>
      <c r="O90" s="54" t="s">
        <v>43</v>
      </c>
      <c r="P90" s="54" t="s">
        <v>43</v>
      </c>
      <c r="Q90" s="54" t="s">
        <v>43</v>
      </c>
      <c r="R90" s="69" t="s">
        <v>101</v>
      </c>
      <c r="S90" s="55" t="s">
        <v>0</v>
      </c>
      <c r="T90" s="1">
        <f>1780.9-223.4+140-15.2</f>
        <v>1682.3</v>
      </c>
      <c r="U90" s="1">
        <f>1650-73+745.2</f>
        <v>2322.1999999999998</v>
      </c>
      <c r="V90" s="1">
        <v>1650</v>
      </c>
      <c r="W90" s="1">
        <f>1500+855.8+1378.8-389.3</f>
        <v>3345.3</v>
      </c>
      <c r="X90" s="1">
        <f>1500-25.2</f>
        <v>1474.8</v>
      </c>
      <c r="Y90" s="1">
        <v>1500</v>
      </c>
      <c r="Z90" s="1">
        <v>1500</v>
      </c>
      <c r="AA90" s="59">
        <f>SUM(T90:Z90)</f>
        <v>13474.599999999999</v>
      </c>
      <c r="AB90" s="58">
        <v>2024</v>
      </c>
      <c r="AC90" s="119"/>
    </row>
    <row r="91" spans="1:30" ht="46.15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102</v>
      </c>
      <c r="S91" s="152" t="s">
        <v>38</v>
      </c>
      <c r="T91" s="2">
        <v>33</v>
      </c>
      <c r="U91" s="2">
        <v>38</v>
      </c>
      <c r="V91" s="2">
        <v>20</v>
      </c>
      <c r="W91" s="2">
        <v>27</v>
      </c>
      <c r="X91" s="2">
        <v>20</v>
      </c>
      <c r="Y91" s="2">
        <v>20</v>
      </c>
      <c r="Z91" s="2">
        <v>20</v>
      </c>
      <c r="AA91" s="49">
        <f>SUM(T91:Z91)</f>
        <v>178</v>
      </c>
      <c r="AB91" s="41">
        <v>2024</v>
      </c>
      <c r="AC91" s="33"/>
    </row>
    <row r="92" spans="1:30" ht="32.2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103</v>
      </c>
      <c r="S92" s="152" t="s">
        <v>38</v>
      </c>
      <c r="T92" s="2">
        <v>4</v>
      </c>
      <c r="U92" s="2">
        <v>4</v>
      </c>
      <c r="V92" s="2">
        <v>4</v>
      </c>
      <c r="W92" s="2">
        <v>4</v>
      </c>
      <c r="X92" s="2">
        <v>4</v>
      </c>
      <c r="Y92" s="2">
        <v>4</v>
      </c>
      <c r="Z92" s="2">
        <v>4</v>
      </c>
      <c r="AA92" s="45">
        <v>4</v>
      </c>
      <c r="AB92" s="41">
        <v>2024</v>
      </c>
      <c r="AC92" s="33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1" t="s">
        <v>293</v>
      </c>
      <c r="S93" s="152" t="s">
        <v>38</v>
      </c>
      <c r="T93" s="44">
        <v>0</v>
      </c>
      <c r="U93" s="44">
        <v>29</v>
      </c>
      <c r="V93" s="44">
        <v>25</v>
      </c>
      <c r="W93" s="44">
        <v>17</v>
      </c>
      <c r="X93" s="44">
        <v>13</v>
      </c>
      <c r="Y93" s="44">
        <v>6</v>
      </c>
      <c r="Z93" s="44">
        <v>6</v>
      </c>
      <c r="AA93" s="49">
        <f>SUM(T93:Z93)</f>
        <v>96</v>
      </c>
      <c r="AB93" s="41">
        <v>2024</v>
      </c>
      <c r="AC93" s="122"/>
      <c r="AD93" s="101"/>
    </row>
    <row r="94" spans="1:30" ht="31.5" x14ac:dyDescent="0.25">
      <c r="A94" s="54" t="s">
        <v>18</v>
      </c>
      <c r="B94" s="54" t="s">
        <v>18</v>
      </c>
      <c r="C94" s="54" t="s">
        <v>24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43</v>
      </c>
      <c r="N94" s="54" t="s">
        <v>43</v>
      </c>
      <c r="O94" s="54" t="s">
        <v>43</v>
      </c>
      <c r="P94" s="54" t="s">
        <v>43</v>
      </c>
      <c r="Q94" s="54" t="s">
        <v>43</v>
      </c>
      <c r="R94" s="69" t="s">
        <v>104</v>
      </c>
      <c r="S94" s="55" t="s">
        <v>0</v>
      </c>
      <c r="T94" s="1">
        <f>1051.4-28.4-48.1</f>
        <v>974.90000000000009</v>
      </c>
      <c r="U94" s="1">
        <f>1450-14.6</f>
        <v>1435.4</v>
      </c>
      <c r="V94" s="1">
        <f>1450+1054.3-450.6</f>
        <v>2053.7000000000003</v>
      </c>
      <c r="W94" s="1">
        <f>1500+1001+150</f>
        <v>2651</v>
      </c>
      <c r="X94" s="1">
        <f>1500+722-400</f>
        <v>1822</v>
      </c>
      <c r="Y94" s="1">
        <v>1500</v>
      </c>
      <c r="Z94" s="1">
        <v>1500</v>
      </c>
      <c r="AA94" s="59">
        <f>SUM(T94:Z94)</f>
        <v>11937</v>
      </c>
      <c r="AB94" s="58">
        <v>2024</v>
      </c>
      <c r="AC94" s="118"/>
      <c r="AD94" s="108"/>
    </row>
    <row r="95" spans="1:30" ht="48" customHeight="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237</v>
      </c>
      <c r="S95" s="152" t="s">
        <v>38</v>
      </c>
      <c r="T95" s="44">
        <v>4</v>
      </c>
      <c r="U95" s="44">
        <v>58</v>
      </c>
      <c r="V95" s="44">
        <v>0</v>
      </c>
      <c r="W95" s="44">
        <v>19</v>
      </c>
      <c r="X95" s="44">
        <v>8</v>
      </c>
      <c r="Y95" s="44">
        <v>16</v>
      </c>
      <c r="Z95" s="44">
        <v>16</v>
      </c>
      <c r="AA95" s="49">
        <f>SUM(T95:Z95)</f>
        <v>121</v>
      </c>
      <c r="AB95" s="41">
        <v>2024</v>
      </c>
      <c r="AC95" s="33"/>
    </row>
    <row r="96" spans="1:30" s="8" customFormat="1" ht="33.7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238</v>
      </c>
      <c r="S96" s="152" t="s">
        <v>38</v>
      </c>
      <c r="T96" s="44">
        <v>5</v>
      </c>
      <c r="U96" s="44">
        <v>5</v>
      </c>
      <c r="V96" s="44">
        <v>6</v>
      </c>
      <c r="W96" s="44">
        <v>6</v>
      </c>
      <c r="X96" s="44">
        <v>6</v>
      </c>
      <c r="Y96" s="44">
        <v>6</v>
      </c>
      <c r="Z96" s="44">
        <v>6</v>
      </c>
      <c r="AA96" s="49">
        <v>6</v>
      </c>
      <c r="AB96" s="41">
        <v>2024</v>
      </c>
      <c r="AC96" s="122"/>
      <c r="AD96" s="101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1" t="s">
        <v>294</v>
      </c>
      <c r="S97" s="152" t="s">
        <v>38</v>
      </c>
      <c r="T97" s="44">
        <v>0</v>
      </c>
      <c r="U97" s="44">
        <v>16</v>
      </c>
      <c r="V97" s="44">
        <v>16</v>
      </c>
      <c r="W97" s="44">
        <v>30</v>
      </c>
      <c r="X97" s="44">
        <v>11</v>
      </c>
      <c r="Y97" s="44">
        <v>11</v>
      </c>
      <c r="Z97" s="44">
        <v>11</v>
      </c>
      <c r="AA97" s="49">
        <f>SUM(T97:Z97)</f>
        <v>95</v>
      </c>
      <c r="AB97" s="41">
        <v>2024</v>
      </c>
      <c r="AC97" s="122"/>
      <c r="AD97" s="101"/>
    </row>
    <row r="98" spans="1:31" ht="31.5" x14ac:dyDescent="0.25">
      <c r="A98" s="54" t="s">
        <v>18</v>
      </c>
      <c r="B98" s="54" t="s">
        <v>18</v>
      </c>
      <c r="C98" s="54" t="s">
        <v>21</v>
      </c>
      <c r="D98" s="54" t="s">
        <v>18</v>
      </c>
      <c r="E98" s="54" t="s">
        <v>21</v>
      </c>
      <c r="F98" s="54" t="s">
        <v>18</v>
      </c>
      <c r="G98" s="54" t="s">
        <v>22</v>
      </c>
      <c r="H98" s="54" t="s">
        <v>19</v>
      </c>
      <c r="I98" s="54" t="s">
        <v>24</v>
      </c>
      <c r="J98" s="54" t="s">
        <v>18</v>
      </c>
      <c r="K98" s="54" t="s">
        <v>18</v>
      </c>
      <c r="L98" s="54" t="s">
        <v>19</v>
      </c>
      <c r="M98" s="54" t="s">
        <v>43</v>
      </c>
      <c r="N98" s="54" t="s">
        <v>43</v>
      </c>
      <c r="O98" s="54" t="s">
        <v>43</v>
      </c>
      <c r="P98" s="54" t="s">
        <v>43</v>
      </c>
      <c r="Q98" s="54" t="s">
        <v>43</v>
      </c>
      <c r="R98" s="69" t="s">
        <v>104</v>
      </c>
      <c r="S98" s="55" t="s">
        <v>0</v>
      </c>
      <c r="T98" s="1">
        <f>1351.9-396.7-310.9-34</f>
        <v>610.30000000000007</v>
      </c>
      <c r="U98" s="1">
        <f>1750-198.6-29.9</f>
        <v>1521.5</v>
      </c>
      <c r="V98" s="1">
        <f>1749.6+553-113</f>
        <v>2189.6</v>
      </c>
      <c r="W98" s="1">
        <f>1500+1265.3</f>
        <v>2765.3</v>
      </c>
      <c r="X98" s="1">
        <f>1500-400-120+779.5</f>
        <v>1759.5</v>
      </c>
      <c r="Y98" s="1">
        <v>1500</v>
      </c>
      <c r="Z98" s="1">
        <v>1500</v>
      </c>
      <c r="AA98" s="59">
        <f>SUM(T98:Z98)</f>
        <v>11846.2</v>
      </c>
      <c r="AB98" s="58">
        <v>2024</v>
      </c>
      <c r="AC98" s="118"/>
      <c r="AD98" s="101"/>
    </row>
    <row r="99" spans="1:31" ht="47.2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1" t="s">
        <v>239</v>
      </c>
      <c r="S99" s="152" t="s">
        <v>38</v>
      </c>
      <c r="T99" s="2">
        <v>21</v>
      </c>
      <c r="U99" s="2">
        <v>95</v>
      </c>
      <c r="V99" s="2">
        <v>220</v>
      </c>
      <c r="W99" s="2">
        <v>90</v>
      </c>
      <c r="X99" s="2">
        <v>19</v>
      </c>
      <c r="Y99" s="2">
        <v>90</v>
      </c>
      <c r="Z99" s="2">
        <v>90</v>
      </c>
      <c r="AA99" s="49">
        <f>SUM(T99:Z99)</f>
        <v>625</v>
      </c>
      <c r="AB99" s="41">
        <v>2024</v>
      </c>
      <c r="AC99" s="122"/>
      <c r="AD99" s="101"/>
    </row>
    <row r="100" spans="1:31" ht="32.2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61" t="s">
        <v>240</v>
      </c>
      <c r="S100" s="152" t="s">
        <v>38</v>
      </c>
      <c r="T100" s="2">
        <v>4</v>
      </c>
      <c r="U100" s="2">
        <v>5</v>
      </c>
      <c r="V100" s="2">
        <v>5</v>
      </c>
      <c r="W100" s="2">
        <v>4</v>
      </c>
      <c r="X100" s="2">
        <v>4</v>
      </c>
      <c r="Y100" s="2">
        <v>4</v>
      </c>
      <c r="Z100" s="2">
        <v>4</v>
      </c>
      <c r="AA100" s="45">
        <v>4</v>
      </c>
      <c r="AB100" s="41">
        <v>2024</v>
      </c>
      <c r="AC100" s="126"/>
      <c r="AD100" s="101"/>
    </row>
    <row r="101" spans="1:31" ht="63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1" t="s">
        <v>295</v>
      </c>
      <c r="S101" s="152" t="s">
        <v>38</v>
      </c>
      <c r="T101" s="44">
        <v>0</v>
      </c>
      <c r="U101" s="44">
        <v>16</v>
      </c>
      <c r="V101" s="44">
        <v>15</v>
      </c>
      <c r="W101" s="44">
        <v>12</v>
      </c>
      <c r="X101" s="44">
        <v>13</v>
      </c>
      <c r="Y101" s="44">
        <v>9</v>
      </c>
      <c r="Z101" s="44">
        <v>9</v>
      </c>
      <c r="AA101" s="49">
        <f>SUM(T101:Z101)</f>
        <v>74</v>
      </c>
      <c r="AB101" s="41">
        <v>2024</v>
      </c>
      <c r="AC101" s="122"/>
      <c r="AD101" s="101"/>
    </row>
    <row r="102" spans="1:31" ht="31.5" x14ac:dyDescent="0.25">
      <c r="A102" s="54" t="s">
        <v>18</v>
      </c>
      <c r="B102" s="54" t="s">
        <v>18</v>
      </c>
      <c r="C102" s="54" t="s">
        <v>25</v>
      </c>
      <c r="D102" s="54" t="s">
        <v>18</v>
      </c>
      <c r="E102" s="54" t="s">
        <v>21</v>
      </c>
      <c r="F102" s="54" t="s">
        <v>18</v>
      </c>
      <c r="G102" s="54" t="s">
        <v>22</v>
      </c>
      <c r="H102" s="54" t="s">
        <v>19</v>
      </c>
      <c r="I102" s="54" t="s">
        <v>24</v>
      </c>
      <c r="J102" s="54" t="s">
        <v>18</v>
      </c>
      <c r="K102" s="54" t="s">
        <v>18</v>
      </c>
      <c r="L102" s="54" t="s">
        <v>19</v>
      </c>
      <c r="M102" s="54" t="s">
        <v>43</v>
      </c>
      <c r="N102" s="54" t="s">
        <v>43</v>
      </c>
      <c r="O102" s="54" t="s">
        <v>43</v>
      </c>
      <c r="P102" s="54" t="s">
        <v>43</v>
      </c>
      <c r="Q102" s="54" t="s">
        <v>43</v>
      </c>
      <c r="R102" s="69" t="s">
        <v>101</v>
      </c>
      <c r="S102" s="55" t="s">
        <v>0</v>
      </c>
      <c r="T102" s="1">
        <f>4141.3-300-1489-672.7-86.2-669.2</f>
        <v>924.2</v>
      </c>
      <c r="U102" s="1">
        <f>2950-369.3-0.6-50-20-366-142.8</f>
        <v>2001.3</v>
      </c>
      <c r="V102" s="1">
        <f>2950+153.2-3.3-641.8</f>
        <v>2458.0999999999995</v>
      </c>
      <c r="W102" s="1">
        <f>1900-22+817.5-91-182</f>
        <v>2422.5</v>
      </c>
      <c r="X102" s="1">
        <f>1682.2-20.6-0.6+461.1</f>
        <v>2122.1000000000004</v>
      </c>
      <c r="Y102" s="1">
        <v>1682.2</v>
      </c>
      <c r="Z102" s="1">
        <v>1900</v>
      </c>
      <c r="AA102" s="59">
        <f>SUM(T102:Z102)</f>
        <v>13510.400000000001</v>
      </c>
      <c r="AB102" s="58">
        <v>2024</v>
      </c>
      <c r="AC102" s="119"/>
    </row>
    <row r="103" spans="1:31" ht="46.9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 t="s">
        <v>241</v>
      </c>
      <c r="S103" s="152" t="s">
        <v>38</v>
      </c>
      <c r="T103" s="44">
        <v>7</v>
      </c>
      <c r="U103" s="44">
        <v>7</v>
      </c>
      <c r="V103" s="44">
        <v>70</v>
      </c>
      <c r="W103" s="44">
        <v>0</v>
      </c>
      <c r="X103" s="44">
        <v>43</v>
      </c>
      <c r="Y103" s="44">
        <v>20</v>
      </c>
      <c r="Z103" s="44">
        <v>20</v>
      </c>
      <c r="AA103" s="49">
        <f>SUM(T103:Z103)</f>
        <v>167</v>
      </c>
      <c r="AB103" s="41">
        <v>2024</v>
      </c>
      <c r="AC103" s="33"/>
    </row>
    <row r="104" spans="1:31" ht="32.25" customHeight="1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 t="s">
        <v>242</v>
      </c>
      <c r="S104" s="41" t="s">
        <v>38</v>
      </c>
      <c r="T104" s="44">
        <v>3</v>
      </c>
      <c r="U104" s="44">
        <v>2</v>
      </c>
      <c r="V104" s="44">
        <v>4</v>
      </c>
      <c r="W104" s="44">
        <v>4</v>
      </c>
      <c r="X104" s="44">
        <v>3</v>
      </c>
      <c r="Y104" s="44">
        <v>5</v>
      </c>
      <c r="Z104" s="44">
        <v>5</v>
      </c>
      <c r="AA104" s="49">
        <v>3</v>
      </c>
      <c r="AB104" s="41">
        <v>2024</v>
      </c>
      <c r="AC104" s="122"/>
      <c r="AD104" s="101"/>
    </row>
    <row r="105" spans="1:31" ht="63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296</v>
      </c>
      <c r="S105" s="152" t="s">
        <v>38</v>
      </c>
      <c r="T105" s="44">
        <v>0</v>
      </c>
      <c r="U105" s="44">
        <v>15</v>
      </c>
      <c r="V105" s="44">
        <v>2</v>
      </c>
      <c r="W105" s="44">
        <v>2</v>
      </c>
      <c r="X105" s="44">
        <v>7</v>
      </c>
      <c r="Y105" s="44">
        <v>8</v>
      </c>
      <c r="Z105" s="44">
        <v>8</v>
      </c>
      <c r="AA105" s="49">
        <f>SUM(T105:Z105)</f>
        <v>42</v>
      </c>
      <c r="AB105" s="41">
        <v>2024</v>
      </c>
      <c r="AC105" s="122"/>
      <c r="AD105" s="101"/>
    </row>
    <row r="106" spans="1:31" ht="31.5" x14ac:dyDescent="0.25">
      <c r="A106" s="54" t="s">
        <v>18</v>
      </c>
      <c r="B106" s="54" t="s">
        <v>19</v>
      </c>
      <c r="C106" s="54" t="s">
        <v>24</v>
      </c>
      <c r="D106" s="54" t="s">
        <v>18</v>
      </c>
      <c r="E106" s="54" t="s">
        <v>21</v>
      </c>
      <c r="F106" s="54" t="s">
        <v>18</v>
      </c>
      <c r="G106" s="54" t="s">
        <v>22</v>
      </c>
      <c r="H106" s="54" t="s">
        <v>19</v>
      </c>
      <c r="I106" s="54" t="s">
        <v>24</v>
      </c>
      <c r="J106" s="54" t="s">
        <v>18</v>
      </c>
      <c r="K106" s="54" t="s">
        <v>18</v>
      </c>
      <c r="L106" s="54" t="s">
        <v>19</v>
      </c>
      <c r="M106" s="54" t="s">
        <v>43</v>
      </c>
      <c r="N106" s="54" t="s">
        <v>43</v>
      </c>
      <c r="O106" s="54" t="s">
        <v>43</v>
      </c>
      <c r="P106" s="54" t="s">
        <v>43</v>
      </c>
      <c r="Q106" s="54" t="s">
        <v>43</v>
      </c>
      <c r="R106" s="69" t="s">
        <v>101</v>
      </c>
      <c r="S106" s="55" t="s">
        <v>0</v>
      </c>
      <c r="T106" s="1">
        <f>236-236+500-125.3</f>
        <v>374.7</v>
      </c>
      <c r="U106" s="1">
        <f>0+229+48-32</f>
        <v>245</v>
      </c>
      <c r="V106" s="1">
        <f>0+150-6.8</f>
        <v>143.19999999999999</v>
      </c>
      <c r="W106" s="1">
        <f>0+30</f>
        <v>30</v>
      </c>
      <c r="X106" s="1">
        <v>30</v>
      </c>
      <c r="Y106" s="1">
        <v>0</v>
      </c>
      <c r="Z106" s="1">
        <v>0</v>
      </c>
      <c r="AA106" s="59">
        <f>SUM(T106:Z106)</f>
        <v>822.90000000000009</v>
      </c>
      <c r="AB106" s="58">
        <v>2022</v>
      </c>
      <c r="AC106" s="122"/>
      <c r="AD106" s="101"/>
    </row>
    <row r="107" spans="1:31" ht="48.6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61" t="s">
        <v>299</v>
      </c>
      <c r="S107" s="152" t="s">
        <v>38</v>
      </c>
      <c r="T107" s="44">
        <v>25</v>
      </c>
      <c r="U107" s="2">
        <v>1</v>
      </c>
      <c r="V107" s="2">
        <v>16</v>
      </c>
      <c r="W107" s="2">
        <v>2</v>
      </c>
      <c r="X107" s="2">
        <v>1</v>
      </c>
      <c r="Y107" s="2">
        <v>0</v>
      </c>
      <c r="Z107" s="2">
        <v>0</v>
      </c>
      <c r="AA107" s="45">
        <f>SUM(T107:Z107)</f>
        <v>45</v>
      </c>
      <c r="AB107" s="41">
        <v>2022</v>
      </c>
      <c r="AC107" s="122"/>
      <c r="AD107" s="101"/>
    </row>
    <row r="108" spans="1:31" x14ac:dyDescent="0.25">
      <c r="A108" s="54" t="s">
        <v>18</v>
      </c>
      <c r="B108" s="54" t="s">
        <v>19</v>
      </c>
      <c r="C108" s="54" t="s">
        <v>20</v>
      </c>
      <c r="D108" s="54" t="s">
        <v>18</v>
      </c>
      <c r="E108" s="54" t="s">
        <v>21</v>
      </c>
      <c r="F108" s="54" t="s">
        <v>18</v>
      </c>
      <c r="G108" s="54" t="s">
        <v>22</v>
      </c>
      <c r="H108" s="54" t="s">
        <v>19</v>
      </c>
      <c r="I108" s="54" t="s">
        <v>24</v>
      </c>
      <c r="J108" s="54" t="s">
        <v>18</v>
      </c>
      <c r="K108" s="54" t="s">
        <v>18</v>
      </c>
      <c r="L108" s="54" t="s">
        <v>19</v>
      </c>
      <c r="M108" s="54" t="s">
        <v>18</v>
      </c>
      <c r="N108" s="54" t="s">
        <v>18</v>
      </c>
      <c r="O108" s="54" t="s">
        <v>18</v>
      </c>
      <c r="P108" s="54" t="s">
        <v>18</v>
      </c>
      <c r="Q108" s="54" t="s">
        <v>18</v>
      </c>
      <c r="R108" s="175" t="s">
        <v>105</v>
      </c>
      <c r="S108" s="180" t="s">
        <v>0</v>
      </c>
      <c r="T108" s="59">
        <f>SUM(T109:T110)</f>
        <v>124849.7</v>
      </c>
      <c r="U108" s="59">
        <f t="shared" ref="U108:Z108" si="42">SUM(U109:U110)</f>
        <v>257371.5</v>
      </c>
      <c r="V108" s="59">
        <f t="shared" si="42"/>
        <v>178030.5</v>
      </c>
      <c r="W108" s="59">
        <f t="shared" si="42"/>
        <v>153398.5</v>
      </c>
      <c r="X108" s="59">
        <f>SUM(X109:X110)</f>
        <v>201221.6</v>
      </c>
      <c r="Y108" s="59">
        <f t="shared" si="42"/>
        <v>130528.6</v>
      </c>
      <c r="Z108" s="59">
        <f t="shared" si="42"/>
        <v>167876.4</v>
      </c>
      <c r="AA108" s="59">
        <f>SUM(T108:Z108)</f>
        <v>1213276.7999999998</v>
      </c>
      <c r="AB108" s="58">
        <v>2024</v>
      </c>
      <c r="AC108" s="118"/>
      <c r="AD108" s="101"/>
    </row>
    <row r="109" spans="1:31" x14ac:dyDescent="0.25">
      <c r="A109" s="54" t="s">
        <v>18</v>
      </c>
      <c r="B109" s="54" t="s">
        <v>19</v>
      </c>
      <c r="C109" s="54" t="s">
        <v>20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18</v>
      </c>
      <c r="N109" s="54" t="s">
        <v>19</v>
      </c>
      <c r="O109" s="54" t="s">
        <v>18</v>
      </c>
      <c r="P109" s="54" t="s">
        <v>18</v>
      </c>
      <c r="Q109" s="54" t="s">
        <v>18</v>
      </c>
      <c r="R109" s="176"/>
      <c r="S109" s="181"/>
      <c r="T109" s="1">
        <v>0</v>
      </c>
      <c r="U109" s="1">
        <v>0</v>
      </c>
      <c r="V109" s="1">
        <v>0</v>
      </c>
      <c r="W109" s="1">
        <v>0</v>
      </c>
      <c r="X109" s="1">
        <v>4417.1000000000004</v>
      </c>
      <c r="Y109" s="1">
        <v>12525.5</v>
      </c>
      <c r="Z109" s="1">
        <v>12525.5</v>
      </c>
      <c r="AA109" s="59">
        <f t="shared" ref="AA109:AA110" si="43">SUM(T109:Z109)</f>
        <v>29468.1</v>
      </c>
      <c r="AB109" s="58">
        <v>2024</v>
      </c>
      <c r="AC109" s="118"/>
      <c r="AD109" s="101"/>
    </row>
    <row r="110" spans="1:31" x14ac:dyDescent="0.25">
      <c r="A110" s="54" t="s">
        <v>18</v>
      </c>
      <c r="B110" s="54" t="s">
        <v>19</v>
      </c>
      <c r="C110" s="54" t="s">
        <v>20</v>
      </c>
      <c r="D110" s="54" t="s">
        <v>18</v>
      </c>
      <c r="E110" s="54" t="s">
        <v>21</v>
      </c>
      <c r="F110" s="54" t="s">
        <v>18</v>
      </c>
      <c r="G110" s="54" t="s">
        <v>22</v>
      </c>
      <c r="H110" s="54" t="s">
        <v>19</v>
      </c>
      <c r="I110" s="54" t="s">
        <v>24</v>
      </c>
      <c r="J110" s="54" t="s">
        <v>18</v>
      </c>
      <c r="K110" s="54" t="s">
        <v>18</v>
      </c>
      <c r="L110" s="54" t="s">
        <v>19</v>
      </c>
      <c r="M110" s="54" t="s">
        <v>43</v>
      </c>
      <c r="N110" s="54" t="s">
        <v>43</v>
      </c>
      <c r="O110" s="54" t="s">
        <v>43</v>
      </c>
      <c r="P110" s="54" t="s">
        <v>43</v>
      </c>
      <c r="Q110" s="54" t="s">
        <v>43</v>
      </c>
      <c r="R110" s="177"/>
      <c r="S110" s="182"/>
      <c r="T110" s="1">
        <f>99204.4+25748.3-45-48-10</f>
        <v>124849.7</v>
      </c>
      <c r="U110" s="1">
        <f>98382.7+162290.6-3301.8</f>
        <v>257371.5</v>
      </c>
      <c r="V110" s="1">
        <f>180545.5-150-150-2115-100</f>
        <v>178030.5</v>
      </c>
      <c r="W110" s="1">
        <f>154888-50-70-100-600+13707.9-6323.8-4495.6-1358-2200</f>
        <v>153398.5</v>
      </c>
      <c r="X110" s="1">
        <f>181212.6+15591.9</f>
        <v>196804.5</v>
      </c>
      <c r="Y110" s="1">
        <v>118003.1</v>
      </c>
      <c r="Z110" s="1">
        <v>155350.9</v>
      </c>
      <c r="AA110" s="59">
        <f t="shared" si="43"/>
        <v>1183808.7</v>
      </c>
      <c r="AB110" s="58">
        <v>2024</v>
      </c>
      <c r="AC110" s="118"/>
      <c r="AD110" s="101"/>
    </row>
    <row r="111" spans="1:31" ht="31.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61" t="s">
        <v>106</v>
      </c>
      <c r="S111" s="152" t="s">
        <v>50</v>
      </c>
      <c r="T111" s="2">
        <v>21452</v>
      </c>
      <c r="U111" s="2">
        <v>21713</v>
      </c>
      <c r="V111" s="2">
        <v>21820</v>
      </c>
      <c r="W111" s="2">
        <v>22526</v>
      </c>
      <c r="X111" s="2">
        <v>22904</v>
      </c>
      <c r="Y111" s="2">
        <v>22916</v>
      </c>
      <c r="Z111" s="2">
        <v>22916</v>
      </c>
      <c r="AA111" s="49">
        <f>Y111</f>
        <v>22916</v>
      </c>
      <c r="AB111" s="41">
        <v>2024</v>
      </c>
      <c r="AC111" s="122"/>
      <c r="AD111" s="108"/>
      <c r="AE111" s="108"/>
    </row>
    <row r="112" spans="1:31" ht="46.9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1" t="s">
        <v>107</v>
      </c>
      <c r="S112" s="152" t="s">
        <v>9</v>
      </c>
      <c r="T112" s="3">
        <v>95</v>
      </c>
      <c r="U112" s="3">
        <v>95</v>
      </c>
      <c r="V112" s="3">
        <v>95</v>
      </c>
      <c r="W112" s="3">
        <v>95</v>
      </c>
      <c r="X112" s="3">
        <v>95</v>
      </c>
      <c r="Y112" s="3">
        <v>95</v>
      </c>
      <c r="Z112" s="3">
        <v>95</v>
      </c>
      <c r="AA112" s="5">
        <v>95</v>
      </c>
      <c r="AB112" s="41">
        <v>2024</v>
      </c>
      <c r="AC112" s="33"/>
    </row>
    <row r="113" spans="1:32" ht="31.5" x14ac:dyDescent="0.25">
      <c r="A113" s="54"/>
      <c r="B113" s="54"/>
      <c r="C113" s="54"/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43</v>
      </c>
      <c r="N113" s="54" t="s">
        <v>43</v>
      </c>
      <c r="O113" s="54" t="s">
        <v>43</v>
      </c>
      <c r="P113" s="54" t="s">
        <v>43</v>
      </c>
      <c r="Q113" s="54" t="s">
        <v>43</v>
      </c>
      <c r="R113" s="68" t="s">
        <v>108</v>
      </c>
      <c r="S113" s="58" t="s">
        <v>0</v>
      </c>
      <c r="T113" s="59">
        <f t="shared" ref="T113:Y114" si="44">T115+T117+T119+T121</f>
        <v>1880.0999999999997</v>
      </c>
      <c r="U113" s="59">
        <f t="shared" si="44"/>
        <v>1976</v>
      </c>
      <c r="V113" s="59">
        <f t="shared" si="44"/>
        <v>1715.8</v>
      </c>
      <c r="W113" s="59">
        <f t="shared" si="44"/>
        <v>2672.1</v>
      </c>
      <c r="X113" s="59">
        <f t="shared" si="44"/>
        <v>7339.5999999999995</v>
      </c>
      <c r="Y113" s="59">
        <f t="shared" si="44"/>
        <v>2597.6999999999998</v>
      </c>
      <c r="Z113" s="59">
        <f t="shared" ref="Z113" si="45">Z115+Z117+Z119+Z121</f>
        <v>2697.7</v>
      </c>
      <c r="AA113" s="59">
        <f t="shared" ref="AA113:AA122" si="46">SUM(T113:Z113)</f>
        <v>20879</v>
      </c>
      <c r="AB113" s="58">
        <v>2024</v>
      </c>
      <c r="AC113" s="119"/>
    </row>
    <row r="114" spans="1:32" ht="31.15" customHeight="1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109</v>
      </c>
      <c r="S114" s="41" t="s">
        <v>38</v>
      </c>
      <c r="T114" s="44">
        <f t="shared" si="44"/>
        <v>61</v>
      </c>
      <c r="U114" s="44">
        <f t="shared" si="44"/>
        <v>147</v>
      </c>
      <c r="V114" s="44">
        <f t="shared" si="44"/>
        <v>255</v>
      </c>
      <c r="W114" s="44">
        <f t="shared" si="44"/>
        <v>311</v>
      </c>
      <c r="X114" s="44">
        <f t="shared" si="44"/>
        <v>395</v>
      </c>
      <c r="Y114" s="44">
        <f t="shared" si="44"/>
        <v>410</v>
      </c>
      <c r="Z114" s="44">
        <f t="shared" ref="Z114" si="47">Z116+Z118+Z120+Z122</f>
        <v>410</v>
      </c>
      <c r="AA114" s="49">
        <f t="shared" si="46"/>
        <v>1989</v>
      </c>
      <c r="AB114" s="41">
        <v>2024</v>
      </c>
      <c r="AC114" s="122"/>
      <c r="AD114" s="101"/>
    </row>
    <row r="115" spans="1:32" ht="31.5" x14ac:dyDescent="0.25">
      <c r="A115" s="54" t="s">
        <v>18</v>
      </c>
      <c r="B115" s="54" t="s">
        <v>18</v>
      </c>
      <c r="C115" s="54" t="s">
        <v>22</v>
      </c>
      <c r="D115" s="54" t="s">
        <v>18</v>
      </c>
      <c r="E115" s="54" t="s">
        <v>21</v>
      </c>
      <c r="F115" s="54" t="s">
        <v>18</v>
      </c>
      <c r="G115" s="54" t="s">
        <v>22</v>
      </c>
      <c r="H115" s="54" t="s">
        <v>19</v>
      </c>
      <c r="I115" s="54" t="s">
        <v>24</v>
      </c>
      <c r="J115" s="54" t="s">
        <v>18</v>
      </c>
      <c r="K115" s="54" t="s">
        <v>18</v>
      </c>
      <c r="L115" s="54" t="s">
        <v>19</v>
      </c>
      <c r="M115" s="54" t="s">
        <v>43</v>
      </c>
      <c r="N115" s="54" t="s">
        <v>43</v>
      </c>
      <c r="O115" s="54" t="s">
        <v>43</v>
      </c>
      <c r="P115" s="54" t="s">
        <v>43</v>
      </c>
      <c r="Q115" s="54" t="s">
        <v>43</v>
      </c>
      <c r="R115" s="69" t="s">
        <v>110</v>
      </c>
      <c r="S115" s="55" t="s">
        <v>0</v>
      </c>
      <c r="T115" s="1">
        <f>92-9.2+105.5-26.8</f>
        <v>161.5</v>
      </c>
      <c r="U115" s="1">
        <f>1092-122.4</f>
        <v>969.6</v>
      </c>
      <c r="V115" s="1">
        <f>1092-692</f>
        <v>400</v>
      </c>
      <c r="W115" s="1">
        <v>1092</v>
      </c>
      <c r="X115" s="1">
        <v>1092</v>
      </c>
      <c r="Y115" s="1">
        <v>1092</v>
      </c>
      <c r="Z115" s="1">
        <v>1092</v>
      </c>
      <c r="AA115" s="59">
        <f t="shared" si="46"/>
        <v>5899.1</v>
      </c>
      <c r="AB115" s="58">
        <v>2024</v>
      </c>
      <c r="AC115" s="119"/>
    </row>
    <row r="116" spans="1:32" ht="47.25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74" t="s">
        <v>111</v>
      </c>
      <c r="S116" s="152" t="s">
        <v>38</v>
      </c>
      <c r="T116" s="44">
        <f>4+4</f>
        <v>8</v>
      </c>
      <c r="U116" s="44">
        <f>29+21</f>
        <v>50</v>
      </c>
      <c r="V116" s="44">
        <v>23</v>
      </c>
      <c r="W116" s="44">
        <v>54</v>
      </c>
      <c r="X116" s="44">
        <v>161</v>
      </c>
      <c r="Y116" s="44">
        <v>158</v>
      </c>
      <c r="Z116" s="44">
        <v>158</v>
      </c>
      <c r="AA116" s="49">
        <f t="shared" si="46"/>
        <v>612</v>
      </c>
      <c r="AB116" s="41">
        <v>2024</v>
      </c>
      <c r="AC116" s="126"/>
      <c r="AD116" s="108"/>
    </row>
    <row r="117" spans="1:32" ht="31.5" x14ac:dyDescent="0.25">
      <c r="A117" s="54" t="s">
        <v>18</v>
      </c>
      <c r="B117" s="54" t="s">
        <v>18</v>
      </c>
      <c r="C117" s="54" t="s">
        <v>24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43</v>
      </c>
      <c r="N117" s="54" t="s">
        <v>43</v>
      </c>
      <c r="O117" s="54" t="s">
        <v>43</v>
      </c>
      <c r="P117" s="54" t="s">
        <v>43</v>
      </c>
      <c r="Q117" s="54" t="s">
        <v>43</v>
      </c>
      <c r="R117" s="69" t="s">
        <v>110</v>
      </c>
      <c r="S117" s="55" t="s">
        <v>0</v>
      </c>
      <c r="T117" s="1">
        <f>1135.8-126-115.2-44.7</f>
        <v>849.89999999999986</v>
      </c>
      <c r="U117" s="1">
        <f>630.5-140-173</f>
        <v>317.5</v>
      </c>
      <c r="V117" s="1">
        <f>630.5-192.2</f>
        <v>438.3</v>
      </c>
      <c r="W117" s="1">
        <f>630.5+9.9</f>
        <v>640.4</v>
      </c>
      <c r="X117" s="1">
        <f>630.5+400</f>
        <v>1030.5</v>
      </c>
      <c r="Y117" s="1">
        <v>630.5</v>
      </c>
      <c r="Z117" s="1">
        <v>630.5</v>
      </c>
      <c r="AA117" s="59">
        <f t="shared" si="46"/>
        <v>4537.6000000000004</v>
      </c>
      <c r="AB117" s="58">
        <v>2024</v>
      </c>
      <c r="AC117" s="121"/>
      <c r="AD117" s="101"/>
    </row>
    <row r="118" spans="1:32" ht="47.2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61" t="s">
        <v>112</v>
      </c>
      <c r="S118" s="152" t="s">
        <v>38</v>
      </c>
      <c r="T118" s="44">
        <v>26</v>
      </c>
      <c r="U118" s="44">
        <v>62</v>
      </c>
      <c r="V118" s="44">
        <v>56</v>
      </c>
      <c r="W118" s="44">
        <v>76</v>
      </c>
      <c r="X118" s="44">
        <v>20</v>
      </c>
      <c r="Y118" s="44">
        <v>35</v>
      </c>
      <c r="Z118" s="44">
        <v>35</v>
      </c>
      <c r="AA118" s="49">
        <f t="shared" si="46"/>
        <v>310</v>
      </c>
      <c r="AB118" s="41">
        <v>2024</v>
      </c>
      <c r="AC118" s="122"/>
      <c r="AD118" s="101"/>
    </row>
    <row r="119" spans="1:32" ht="31.5" x14ac:dyDescent="0.25">
      <c r="A119" s="54" t="s">
        <v>18</v>
      </c>
      <c r="B119" s="54" t="s">
        <v>18</v>
      </c>
      <c r="C119" s="54" t="s">
        <v>21</v>
      </c>
      <c r="D119" s="54" t="s">
        <v>18</v>
      </c>
      <c r="E119" s="54" t="s">
        <v>21</v>
      </c>
      <c r="F119" s="54" t="s">
        <v>18</v>
      </c>
      <c r="G119" s="54" t="s">
        <v>22</v>
      </c>
      <c r="H119" s="54" t="s">
        <v>19</v>
      </c>
      <c r="I119" s="54" t="s">
        <v>24</v>
      </c>
      <c r="J119" s="54" t="s">
        <v>18</v>
      </c>
      <c r="K119" s="54" t="s">
        <v>18</v>
      </c>
      <c r="L119" s="54" t="s">
        <v>19</v>
      </c>
      <c r="M119" s="54" t="s">
        <v>43</v>
      </c>
      <c r="N119" s="54" t="s">
        <v>43</v>
      </c>
      <c r="O119" s="54" t="s">
        <v>43</v>
      </c>
      <c r="P119" s="54" t="s">
        <v>43</v>
      </c>
      <c r="Q119" s="54" t="s">
        <v>43</v>
      </c>
      <c r="R119" s="69" t="s">
        <v>110</v>
      </c>
      <c r="S119" s="55" t="s">
        <v>0</v>
      </c>
      <c r="T119" s="1">
        <f>429.2+396.7-107.5</f>
        <v>718.4</v>
      </c>
      <c r="U119" s="1">
        <f>475.2-36.3</f>
        <v>438.9</v>
      </c>
      <c r="V119" s="1">
        <v>475.7</v>
      </c>
      <c r="W119" s="1">
        <f>475.2-25.2</f>
        <v>450</v>
      </c>
      <c r="X119" s="1">
        <f>475.2+4361-19.1</f>
        <v>4817.0999999999995</v>
      </c>
      <c r="Y119" s="1">
        <v>475.2</v>
      </c>
      <c r="Z119" s="1">
        <v>475.2</v>
      </c>
      <c r="AA119" s="59">
        <f t="shared" si="46"/>
        <v>7850.4999999999991</v>
      </c>
      <c r="AB119" s="58">
        <v>2024</v>
      </c>
      <c r="AC119" s="119"/>
    </row>
    <row r="120" spans="1:32" ht="47.25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 t="s">
        <v>113</v>
      </c>
      <c r="S120" s="41" t="s">
        <v>38</v>
      </c>
      <c r="T120" s="44">
        <v>17</v>
      </c>
      <c r="U120" s="44">
        <v>17</v>
      </c>
      <c r="V120" s="44">
        <v>122</v>
      </c>
      <c r="W120" s="44">
        <v>132</v>
      </c>
      <c r="X120" s="44">
        <f>132+3</f>
        <v>135</v>
      </c>
      <c r="Y120" s="44">
        <v>134</v>
      </c>
      <c r="Z120" s="44">
        <v>134</v>
      </c>
      <c r="AA120" s="49">
        <f t="shared" si="46"/>
        <v>691</v>
      </c>
      <c r="AB120" s="41">
        <v>2024</v>
      </c>
      <c r="AC120" s="122"/>
      <c r="AD120" s="101"/>
    </row>
    <row r="121" spans="1:32" ht="31.5" x14ac:dyDescent="0.25">
      <c r="A121" s="54" t="s">
        <v>18</v>
      </c>
      <c r="B121" s="54" t="s">
        <v>18</v>
      </c>
      <c r="C121" s="54" t="s">
        <v>25</v>
      </c>
      <c r="D121" s="54" t="s">
        <v>18</v>
      </c>
      <c r="E121" s="54" t="s">
        <v>21</v>
      </c>
      <c r="F121" s="54" t="s">
        <v>18</v>
      </c>
      <c r="G121" s="54" t="s">
        <v>22</v>
      </c>
      <c r="H121" s="54" t="s">
        <v>19</v>
      </c>
      <c r="I121" s="54" t="s">
        <v>24</v>
      </c>
      <c r="J121" s="54" t="s">
        <v>18</v>
      </c>
      <c r="K121" s="54" t="s">
        <v>18</v>
      </c>
      <c r="L121" s="54" t="s">
        <v>19</v>
      </c>
      <c r="M121" s="54" t="s">
        <v>43</v>
      </c>
      <c r="N121" s="54" t="s">
        <v>43</v>
      </c>
      <c r="O121" s="54" t="s">
        <v>43</v>
      </c>
      <c r="P121" s="54" t="s">
        <v>43</v>
      </c>
      <c r="Q121" s="54" t="s">
        <v>43</v>
      </c>
      <c r="R121" s="69" t="s">
        <v>114</v>
      </c>
      <c r="S121" s="55" t="s">
        <v>0</v>
      </c>
      <c r="T121" s="1">
        <f>153.3-3</f>
        <v>150.30000000000001</v>
      </c>
      <c r="U121" s="1">
        <f>200+50</f>
        <v>250</v>
      </c>
      <c r="V121" s="1">
        <f>500-101.5+3.3</f>
        <v>401.8</v>
      </c>
      <c r="W121" s="1">
        <f>500-10.3</f>
        <v>489.7</v>
      </c>
      <c r="X121" s="1">
        <v>400</v>
      </c>
      <c r="Y121" s="1">
        <v>400</v>
      </c>
      <c r="Z121" s="1">
        <v>500</v>
      </c>
      <c r="AA121" s="59">
        <f t="shared" si="46"/>
        <v>2591.8000000000002</v>
      </c>
      <c r="AB121" s="58">
        <v>2024</v>
      </c>
      <c r="AC121" s="33"/>
    </row>
    <row r="122" spans="1:32" ht="47.2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115</v>
      </c>
      <c r="S122" s="41" t="s">
        <v>38</v>
      </c>
      <c r="T122" s="44">
        <v>10</v>
      </c>
      <c r="U122" s="44">
        <v>18</v>
      </c>
      <c r="V122" s="44">
        <v>54</v>
      </c>
      <c r="W122" s="44">
        <v>49</v>
      </c>
      <c r="X122" s="44">
        <v>79</v>
      </c>
      <c r="Y122" s="44">
        <v>83</v>
      </c>
      <c r="Z122" s="44">
        <v>83</v>
      </c>
      <c r="AA122" s="49">
        <f t="shared" si="46"/>
        <v>376</v>
      </c>
      <c r="AB122" s="41">
        <v>2024</v>
      </c>
      <c r="AC122" s="33"/>
    </row>
    <row r="123" spans="1:32" ht="31.5" x14ac:dyDescent="0.25">
      <c r="A123" s="54" t="s">
        <v>18</v>
      </c>
      <c r="B123" s="54" t="s">
        <v>19</v>
      </c>
      <c r="C123" s="54" t="s">
        <v>20</v>
      </c>
      <c r="D123" s="54" t="s">
        <v>18</v>
      </c>
      <c r="E123" s="54" t="s">
        <v>21</v>
      </c>
      <c r="F123" s="54" t="s">
        <v>18</v>
      </c>
      <c r="G123" s="54" t="s">
        <v>22</v>
      </c>
      <c r="H123" s="54" t="s">
        <v>19</v>
      </c>
      <c r="I123" s="54" t="s">
        <v>24</v>
      </c>
      <c r="J123" s="54" t="s">
        <v>18</v>
      </c>
      <c r="K123" s="54" t="s">
        <v>18</v>
      </c>
      <c r="L123" s="54" t="s">
        <v>19</v>
      </c>
      <c r="M123" s="54" t="s">
        <v>43</v>
      </c>
      <c r="N123" s="54" t="s">
        <v>43</v>
      </c>
      <c r="O123" s="54" t="s">
        <v>43</v>
      </c>
      <c r="P123" s="54" t="s">
        <v>43</v>
      </c>
      <c r="Q123" s="54" t="s">
        <v>43</v>
      </c>
      <c r="R123" s="150" t="s">
        <v>116</v>
      </c>
      <c r="S123" s="93" t="s">
        <v>0</v>
      </c>
      <c r="T123" s="59">
        <f>2300+20572-19997.4-439+45+48+203.1-4</f>
        <v>2727.6999999999985</v>
      </c>
      <c r="U123" s="59">
        <f>7300+715</f>
        <v>8015</v>
      </c>
      <c r="V123" s="59">
        <f>3500+2115-846.5</f>
        <v>4768.5</v>
      </c>
      <c r="W123" s="59">
        <f>5200-9.4-104</f>
        <v>5086.6000000000004</v>
      </c>
      <c r="X123" s="59">
        <f>4333.5+524.5</f>
        <v>4858</v>
      </c>
      <c r="Y123" s="59">
        <v>5200</v>
      </c>
      <c r="Z123" s="59">
        <v>5200</v>
      </c>
      <c r="AA123" s="59">
        <f>SUM(T123:Z123)</f>
        <v>35855.800000000003</v>
      </c>
      <c r="AB123" s="58">
        <v>2024</v>
      </c>
      <c r="AC123" s="122"/>
      <c r="AD123" s="108"/>
      <c r="AE123" s="108"/>
      <c r="AF123" s="108"/>
    </row>
    <row r="124" spans="1:32" s="72" customFormat="1" ht="47.25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40" t="s">
        <v>117</v>
      </c>
      <c r="S124" s="41" t="s">
        <v>50</v>
      </c>
      <c r="T124" s="2">
        <v>8</v>
      </c>
      <c r="U124" s="2">
        <v>10</v>
      </c>
      <c r="V124" s="2">
        <v>10</v>
      </c>
      <c r="W124" s="2">
        <v>10</v>
      </c>
      <c r="X124" s="2">
        <v>10</v>
      </c>
      <c r="Y124" s="2">
        <v>10</v>
      </c>
      <c r="Z124" s="2">
        <v>10</v>
      </c>
      <c r="AA124" s="45">
        <v>10</v>
      </c>
      <c r="AB124" s="41">
        <v>2024</v>
      </c>
      <c r="AC124" s="33"/>
      <c r="AD124" s="101"/>
    </row>
    <row r="125" spans="1:32" ht="31.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1" t="s">
        <v>118</v>
      </c>
      <c r="S125" s="152" t="s">
        <v>50</v>
      </c>
      <c r="T125" s="2">
        <v>0</v>
      </c>
      <c r="U125" s="2">
        <v>649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45">
        <f>SUM(T125:Z125)</f>
        <v>649</v>
      </c>
      <c r="AB125" s="152">
        <v>2019</v>
      </c>
      <c r="AC125" s="33"/>
      <c r="AD125" s="101"/>
    </row>
    <row r="126" spans="1:32" s="72" customFormat="1" ht="31.5" x14ac:dyDescent="0.25">
      <c r="A126" s="54"/>
      <c r="B126" s="54"/>
      <c r="C126" s="54"/>
      <c r="D126" s="54" t="s">
        <v>18</v>
      </c>
      <c r="E126" s="54" t="s">
        <v>21</v>
      </c>
      <c r="F126" s="54" t="s">
        <v>18</v>
      </c>
      <c r="G126" s="54" t="s">
        <v>22</v>
      </c>
      <c r="H126" s="54" t="s">
        <v>19</v>
      </c>
      <c r="I126" s="54" t="s">
        <v>24</v>
      </c>
      <c r="J126" s="54" t="s">
        <v>18</v>
      </c>
      <c r="K126" s="54" t="s">
        <v>18</v>
      </c>
      <c r="L126" s="54" t="s">
        <v>19</v>
      </c>
      <c r="M126" s="54" t="s">
        <v>43</v>
      </c>
      <c r="N126" s="54" t="s">
        <v>43</v>
      </c>
      <c r="O126" s="54" t="s">
        <v>43</v>
      </c>
      <c r="P126" s="54" t="s">
        <v>43</v>
      </c>
      <c r="Q126" s="54" t="s">
        <v>43</v>
      </c>
      <c r="R126" s="151" t="s">
        <v>119</v>
      </c>
      <c r="S126" s="58" t="s">
        <v>0</v>
      </c>
      <c r="T126" s="59">
        <f>102300-550-5000-1550.7+43.1+12-12</f>
        <v>95242.400000000009</v>
      </c>
      <c r="U126" s="59">
        <f>83000-4000+50</f>
        <v>79050</v>
      </c>
      <c r="V126" s="59">
        <f>89143.1+50</f>
        <v>89193.1</v>
      </c>
      <c r="W126" s="59">
        <f>W135+W129+W131</f>
        <v>90193.1</v>
      </c>
      <c r="X126" s="59">
        <f>X135+X129+X131</f>
        <v>96455.1</v>
      </c>
      <c r="Y126" s="59">
        <f>Y135+Y129+Y131</f>
        <v>104388</v>
      </c>
      <c r="Z126" s="59">
        <f>Z135+Z129+Z131</f>
        <v>104388</v>
      </c>
      <c r="AA126" s="59">
        <f>SUM(T126:Z126)</f>
        <v>658909.69999999995</v>
      </c>
      <c r="AB126" s="58">
        <v>2024</v>
      </c>
      <c r="AC126" s="33"/>
    </row>
    <row r="127" spans="1:32" s="72" customFormat="1" ht="31.5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8" t="s">
        <v>348</v>
      </c>
      <c r="S127" s="41" t="s">
        <v>52</v>
      </c>
      <c r="T127" s="4">
        <v>3.7</v>
      </c>
      <c r="U127" s="4">
        <v>3.8</v>
      </c>
      <c r="V127" s="4">
        <v>3.7</v>
      </c>
      <c r="W127" s="4">
        <f>W136+W132</f>
        <v>3.7</v>
      </c>
      <c r="X127" s="4">
        <f>X136+X132</f>
        <v>3.5</v>
      </c>
      <c r="Y127" s="4">
        <f>Y136+Y132</f>
        <v>3.7</v>
      </c>
      <c r="Z127" s="4">
        <f>Z136+Z132</f>
        <v>3.9000000000000004</v>
      </c>
      <c r="AA127" s="6">
        <v>3.9</v>
      </c>
      <c r="AB127" s="41">
        <v>2024</v>
      </c>
      <c r="AC127" s="33"/>
    </row>
    <row r="128" spans="1:32" s="51" customFormat="1" ht="31.15" customHeight="1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 t="s">
        <v>356</v>
      </c>
      <c r="S128" s="41" t="s">
        <v>52</v>
      </c>
      <c r="T128" s="3">
        <v>2557</v>
      </c>
      <c r="U128" s="3">
        <v>2220.9</v>
      </c>
      <c r="V128" s="3">
        <v>2165.9</v>
      </c>
      <c r="W128" s="3">
        <f>W141+W130+W134</f>
        <v>2189.1</v>
      </c>
      <c r="X128" s="3">
        <f>X141+X130+X134</f>
        <v>2192.9999999999995</v>
      </c>
      <c r="Y128" s="3">
        <f>Y141+Y130+Y134</f>
        <v>2192.9999999999995</v>
      </c>
      <c r="Z128" s="3">
        <f>Z141+Z130+Z134</f>
        <v>2192.9999999999995</v>
      </c>
      <c r="AA128" s="6">
        <f>Z128</f>
        <v>2192.9999999999995</v>
      </c>
      <c r="AB128" s="41">
        <v>2024</v>
      </c>
      <c r="AC128" s="33"/>
    </row>
    <row r="129" spans="1:32" s="72" customFormat="1" ht="31.5" x14ac:dyDescent="0.25">
      <c r="A129" s="54" t="s">
        <v>18</v>
      </c>
      <c r="B129" s="54" t="s">
        <v>18</v>
      </c>
      <c r="C129" s="54" t="s">
        <v>24</v>
      </c>
      <c r="D129" s="54" t="s">
        <v>18</v>
      </c>
      <c r="E129" s="54" t="s">
        <v>21</v>
      </c>
      <c r="F129" s="54" t="s">
        <v>18</v>
      </c>
      <c r="G129" s="54" t="s">
        <v>22</v>
      </c>
      <c r="H129" s="54" t="s">
        <v>19</v>
      </c>
      <c r="I129" s="54" t="s">
        <v>24</v>
      </c>
      <c r="J129" s="54" t="s">
        <v>18</v>
      </c>
      <c r="K129" s="54" t="s">
        <v>18</v>
      </c>
      <c r="L129" s="54" t="s">
        <v>19</v>
      </c>
      <c r="M129" s="54" t="s">
        <v>43</v>
      </c>
      <c r="N129" s="54" t="s">
        <v>43</v>
      </c>
      <c r="O129" s="54" t="s">
        <v>43</v>
      </c>
      <c r="P129" s="54" t="s">
        <v>43</v>
      </c>
      <c r="Q129" s="54" t="s">
        <v>43</v>
      </c>
      <c r="R129" s="151" t="s">
        <v>119</v>
      </c>
      <c r="S129" s="55" t="s">
        <v>0</v>
      </c>
      <c r="T129" s="1">
        <v>0</v>
      </c>
      <c r="U129" s="1">
        <v>0</v>
      </c>
      <c r="V129" s="1">
        <v>0</v>
      </c>
      <c r="W129" s="1">
        <v>0</v>
      </c>
      <c r="X129" s="1">
        <f>2266.5-1370.3</f>
        <v>896.2</v>
      </c>
      <c r="Y129" s="1">
        <v>2266.5</v>
      </c>
      <c r="Z129" s="1">
        <v>2266.5</v>
      </c>
      <c r="AA129" s="59">
        <f>SUM(T129:Z129)</f>
        <v>5429.2</v>
      </c>
      <c r="AB129" s="58">
        <v>2024</v>
      </c>
      <c r="AC129" s="33"/>
    </row>
    <row r="130" spans="1:32" s="51" customFormat="1" ht="47.25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 t="s">
        <v>349</v>
      </c>
      <c r="S130" s="41" t="s">
        <v>52</v>
      </c>
      <c r="T130" s="3">
        <v>0</v>
      </c>
      <c r="U130" s="3">
        <v>0</v>
      </c>
      <c r="V130" s="3">
        <v>0</v>
      </c>
      <c r="W130" s="3">
        <v>0</v>
      </c>
      <c r="X130" s="3">
        <v>13.6</v>
      </c>
      <c r="Y130" s="3">
        <v>13.6</v>
      </c>
      <c r="Z130" s="3">
        <v>13.6</v>
      </c>
      <c r="AA130" s="6">
        <f>SUM(T130:Z130)</f>
        <v>40.799999999999997</v>
      </c>
      <c r="AB130" s="41">
        <v>2024</v>
      </c>
      <c r="AC130" s="33"/>
    </row>
    <row r="131" spans="1:32" s="72" customFormat="1" ht="31.5" x14ac:dyDescent="0.25">
      <c r="A131" s="54" t="s">
        <v>18</v>
      </c>
      <c r="B131" s="54" t="s">
        <v>18</v>
      </c>
      <c r="C131" s="54" t="s">
        <v>21</v>
      </c>
      <c r="D131" s="54" t="s">
        <v>18</v>
      </c>
      <c r="E131" s="54" t="s">
        <v>21</v>
      </c>
      <c r="F131" s="54" t="s">
        <v>18</v>
      </c>
      <c r="G131" s="54" t="s">
        <v>22</v>
      </c>
      <c r="H131" s="54" t="s">
        <v>19</v>
      </c>
      <c r="I131" s="54" t="s">
        <v>24</v>
      </c>
      <c r="J131" s="54" t="s">
        <v>18</v>
      </c>
      <c r="K131" s="54" t="s">
        <v>18</v>
      </c>
      <c r="L131" s="54" t="s">
        <v>19</v>
      </c>
      <c r="M131" s="54" t="s">
        <v>43</v>
      </c>
      <c r="N131" s="54" t="s">
        <v>43</v>
      </c>
      <c r="O131" s="54" t="s">
        <v>43</v>
      </c>
      <c r="P131" s="54" t="s">
        <v>43</v>
      </c>
      <c r="Q131" s="54" t="s">
        <v>43</v>
      </c>
      <c r="R131" s="151" t="s">
        <v>119</v>
      </c>
      <c r="S131" s="55" t="s">
        <v>0</v>
      </c>
      <c r="T131" s="1">
        <v>0</v>
      </c>
      <c r="U131" s="1">
        <v>0</v>
      </c>
      <c r="V131" s="1">
        <v>0</v>
      </c>
      <c r="W131" s="1">
        <v>0</v>
      </c>
      <c r="X131" s="1">
        <f>2978.4-622.1</f>
        <v>2356.3000000000002</v>
      </c>
      <c r="Y131" s="1">
        <v>2978.4</v>
      </c>
      <c r="Z131" s="1">
        <v>2978.4</v>
      </c>
      <c r="AA131" s="59">
        <f>SUM(T131:Z131)</f>
        <v>8313.1</v>
      </c>
      <c r="AB131" s="58">
        <v>2024</v>
      </c>
      <c r="AC131" s="33"/>
    </row>
    <row r="132" spans="1:32" s="72" customFormat="1" ht="47.25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8" t="s">
        <v>350</v>
      </c>
      <c r="S132" s="41" t="s">
        <v>52</v>
      </c>
      <c r="T132" s="3">
        <v>0</v>
      </c>
      <c r="U132" s="3">
        <v>0</v>
      </c>
      <c r="V132" s="3">
        <v>0</v>
      </c>
      <c r="W132" s="3">
        <v>0</v>
      </c>
      <c r="X132" s="4">
        <v>0</v>
      </c>
      <c r="Y132" s="4">
        <v>0</v>
      </c>
      <c r="Z132" s="4">
        <v>0.2</v>
      </c>
      <c r="AA132" s="6">
        <f>Z132</f>
        <v>0.2</v>
      </c>
      <c r="AB132" s="41">
        <v>2024</v>
      </c>
      <c r="AC132" s="33"/>
    </row>
    <row r="133" spans="1:32" s="51" customFormat="1" ht="47.25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61" t="s">
        <v>351</v>
      </c>
      <c r="S133" s="152" t="s">
        <v>34</v>
      </c>
      <c r="T133" s="3">
        <v>0</v>
      </c>
      <c r="U133" s="3">
        <v>0</v>
      </c>
      <c r="V133" s="3">
        <v>0</v>
      </c>
      <c r="W133" s="3">
        <v>0</v>
      </c>
      <c r="X133" s="3">
        <v>50</v>
      </c>
      <c r="Y133" s="3">
        <v>50</v>
      </c>
      <c r="Z133" s="3">
        <v>50</v>
      </c>
      <c r="AA133" s="6">
        <f t="shared" ref="AA133:AA134" si="48">X133</f>
        <v>50</v>
      </c>
      <c r="AB133" s="41">
        <v>2024</v>
      </c>
      <c r="AC133" s="122"/>
      <c r="AD133" s="101"/>
    </row>
    <row r="134" spans="1:32" s="51" customFormat="1" ht="47.25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 t="s">
        <v>352</v>
      </c>
      <c r="S134" s="41" t="s">
        <v>52</v>
      </c>
      <c r="T134" s="3">
        <v>0</v>
      </c>
      <c r="U134" s="3">
        <v>0</v>
      </c>
      <c r="V134" s="3">
        <v>0</v>
      </c>
      <c r="W134" s="3">
        <v>0</v>
      </c>
      <c r="X134" s="3">
        <v>11.2</v>
      </c>
      <c r="Y134" s="3">
        <v>11.2</v>
      </c>
      <c r="Z134" s="3">
        <v>11.2</v>
      </c>
      <c r="AA134" s="6">
        <f t="shared" si="48"/>
        <v>11.2</v>
      </c>
      <c r="AB134" s="41">
        <v>2024</v>
      </c>
      <c r="AC134" s="33"/>
    </row>
    <row r="135" spans="1:32" s="72" customFormat="1" ht="31.5" x14ac:dyDescent="0.25">
      <c r="A135" s="54" t="s">
        <v>18</v>
      </c>
      <c r="B135" s="54" t="s">
        <v>19</v>
      </c>
      <c r="C135" s="54" t="s">
        <v>20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18</v>
      </c>
      <c r="L135" s="54" t="s">
        <v>19</v>
      </c>
      <c r="M135" s="54" t="s">
        <v>43</v>
      </c>
      <c r="N135" s="54" t="s">
        <v>43</v>
      </c>
      <c r="O135" s="54" t="s">
        <v>43</v>
      </c>
      <c r="P135" s="54" t="s">
        <v>43</v>
      </c>
      <c r="Q135" s="54" t="s">
        <v>43</v>
      </c>
      <c r="R135" s="151" t="s">
        <v>119</v>
      </c>
      <c r="S135" s="55" t="s">
        <v>0</v>
      </c>
      <c r="T135" s="1">
        <f>102300-550-5000-1550.7+43.1+12-12</f>
        <v>95242.400000000009</v>
      </c>
      <c r="U135" s="1">
        <f>83000-4000+50</f>
        <v>79050</v>
      </c>
      <c r="V135" s="1">
        <f>89143.1+50</f>
        <v>89193.1</v>
      </c>
      <c r="W135" s="1">
        <f>89143.1+50+1000</f>
        <v>90193.1</v>
      </c>
      <c r="X135" s="1">
        <v>93202.6</v>
      </c>
      <c r="Y135" s="1">
        <v>99143.1</v>
      </c>
      <c r="Z135" s="1">
        <v>99143.1</v>
      </c>
      <c r="AA135" s="59">
        <f>SUM(T135:Z135)</f>
        <v>645167.39999999991</v>
      </c>
      <c r="AB135" s="58">
        <v>2024</v>
      </c>
      <c r="AC135" s="33"/>
    </row>
    <row r="136" spans="1:32" s="72" customFormat="1" ht="47.25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8" t="s">
        <v>359</v>
      </c>
      <c r="S136" s="41" t="s">
        <v>52</v>
      </c>
      <c r="T136" s="4">
        <v>3.7</v>
      </c>
      <c r="U136" s="4">
        <v>3.8</v>
      </c>
      <c r="V136" s="4">
        <v>3.7</v>
      </c>
      <c r="W136" s="4">
        <v>3.7</v>
      </c>
      <c r="X136" s="4">
        <v>3.5</v>
      </c>
      <c r="Y136" s="4">
        <v>3.7</v>
      </c>
      <c r="Z136" s="4">
        <v>3.7</v>
      </c>
      <c r="AA136" s="6">
        <v>3.7</v>
      </c>
      <c r="AB136" s="41">
        <v>2024</v>
      </c>
      <c r="AC136" s="33"/>
    </row>
    <row r="137" spans="1:32" ht="47.25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 t="s">
        <v>357</v>
      </c>
      <c r="S137" s="41" t="s">
        <v>50</v>
      </c>
      <c r="T137" s="44">
        <v>87</v>
      </c>
      <c r="U137" s="44">
        <v>74</v>
      </c>
      <c r="V137" s="44">
        <v>74</v>
      </c>
      <c r="W137" s="44">
        <v>70</v>
      </c>
      <c r="X137" s="44">
        <v>70</v>
      </c>
      <c r="Y137" s="44">
        <v>70</v>
      </c>
      <c r="Z137" s="44">
        <v>70</v>
      </c>
      <c r="AA137" s="49">
        <v>74</v>
      </c>
      <c r="AB137" s="41">
        <v>2024</v>
      </c>
      <c r="AC137" s="122"/>
      <c r="AD137" s="101"/>
    </row>
    <row r="138" spans="1:32" ht="47.4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1" t="s">
        <v>353</v>
      </c>
      <c r="S138" s="152" t="s">
        <v>50</v>
      </c>
      <c r="T138" s="2">
        <v>2400</v>
      </c>
      <c r="U138" s="44">
        <v>2400</v>
      </c>
      <c r="V138" s="44">
        <v>4059</v>
      </c>
      <c r="W138" s="44">
        <v>3100</v>
      </c>
      <c r="X138" s="44">
        <v>3513</v>
      </c>
      <c r="Y138" s="44">
        <v>3100</v>
      </c>
      <c r="Z138" s="44">
        <v>3100</v>
      </c>
      <c r="AA138" s="49">
        <f>SUM(T138:Z138)</f>
        <v>21672</v>
      </c>
      <c r="AB138" s="41">
        <v>2024</v>
      </c>
      <c r="AC138" s="122"/>
      <c r="AD138" s="101"/>
    </row>
    <row r="139" spans="1:32" ht="47.2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354</v>
      </c>
      <c r="S139" s="152" t="s">
        <v>32</v>
      </c>
      <c r="T139" s="4">
        <v>12100</v>
      </c>
      <c r="U139" s="3">
        <v>11300</v>
      </c>
      <c r="V139" s="3">
        <v>16000</v>
      </c>
      <c r="W139" s="3">
        <v>13499</v>
      </c>
      <c r="X139" s="3">
        <v>13000</v>
      </c>
      <c r="Y139" s="3">
        <v>13000</v>
      </c>
      <c r="Z139" s="3">
        <v>13499</v>
      </c>
      <c r="AA139" s="49">
        <f t="shared" ref="AA139:AA140" si="49">SUM(T139:Z139)</f>
        <v>92398</v>
      </c>
      <c r="AB139" s="41">
        <v>2024</v>
      </c>
      <c r="AC139" s="122"/>
      <c r="AD139" s="101"/>
    </row>
    <row r="140" spans="1:32" s="51" customFormat="1" ht="47.25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1" t="s">
        <v>358</v>
      </c>
      <c r="S140" s="152" t="s">
        <v>34</v>
      </c>
      <c r="T140" s="4">
        <v>8969</v>
      </c>
      <c r="U140" s="3">
        <v>9945</v>
      </c>
      <c r="V140" s="3">
        <v>10275</v>
      </c>
      <c r="W140" s="3">
        <v>10690</v>
      </c>
      <c r="X140" s="3">
        <v>10883</v>
      </c>
      <c r="Y140" s="3">
        <v>12053</v>
      </c>
      <c r="Z140" s="3">
        <v>12053</v>
      </c>
      <c r="AA140" s="49">
        <f t="shared" si="49"/>
        <v>74868</v>
      </c>
      <c r="AB140" s="41">
        <v>2024</v>
      </c>
      <c r="AC140" s="122"/>
      <c r="AD140" s="101"/>
    </row>
    <row r="141" spans="1:32" s="51" customFormat="1" ht="47.25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 t="s">
        <v>360</v>
      </c>
      <c r="S141" s="41" t="s">
        <v>52</v>
      </c>
      <c r="T141" s="3">
        <v>2557</v>
      </c>
      <c r="U141" s="3">
        <v>2220.9</v>
      </c>
      <c r="V141" s="3">
        <v>2165.9</v>
      </c>
      <c r="W141" s="3">
        <v>2189.1</v>
      </c>
      <c r="X141" s="3">
        <v>2168.1999999999998</v>
      </c>
      <c r="Y141" s="3">
        <v>2168.1999999999998</v>
      </c>
      <c r="Z141" s="3">
        <v>2168.1999999999998</v>
      </c>
      <c r="AA141" s="6">
        <f>Z141</f>
        <v>2168.1999999999998</v>
      </c>
      <c r="AB141" s="41">
        <v>2024</v>
      </c>
      <c r="AC141" s="33"/>
    </row>
    <row r="142" spans="1:32" ht="63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8" t="s">
        <v>355</v>
      </c>
      <c r="S142" s="41" t="s">
        <v>36</v>
      </c>
      <c r="T142" s="44">
        <v>247</v>
      </c>
      <c r="U142" s="44">
        <v>247</v>
      </c>
      <c r="V142" s="44">
        <v>249</v>
      </c>
      <c r="W142" s="44">
        <v>247</v>
      </c>
      <c r="X142" s="44">
        <v>247</v>
      </c>
      <c r="Y142" s="44">
        <v>247</v>
      </c>
      <c r="Z142" s="44">
        <v>247</v>
      </c>
      <c r="AA142" s="49">
        <f>SUM(T142:Z142)</f>
        <v>1731</v>
      </c>
      <c r="AB142" s="41">
        <v>2024</v>
      </c>
      <c r="AC142" s="33"/>
    </row>
    <row r="143" spans="1:32" ht="31.5" x14ac:dyDescent="0.25">
      <c r="A143" s="54" t="s">
        <v>18</v>
      </c>
      <c r="B143" s="54" t="s">
        <v>19</v>
      </c>
      <c r="C143" s="54" t="s">
        <v>24</v>
      </c>
      <c r="D143" s="54" t="s">
        <v>18</v>
      </c>
      <c r="E143" s="54" t="s">
        <v>21</v>
      </c>
      <c r="F143" s="54" t="s">
        <v>18</v>
      </c>
      <c r="G143" s="54" t="s">
        <v>22</v>
      </c>
      <c r="H143" s="54" t="s">
        <v>19</v>
      </c>
      <c r="I143" s="54" t="s">
        <v>24</v>
      </c>
      <c r="J143" s="54" t="s">
        <v>18</v>
      </c>
      <c r="K143" s="54" t="s">
        <v>18</v>
      </c>
      <c r="L143" s="54" t="s">
        <v>19</v>
      </c>
      <c r="M143" s="54" t="s">
        <v>43</v>
      </c>
      <c r="N143" s="54" t="s">
        <v>43</v>
      </c>
      <c r="O143" s="54" t="s">
        <v>43</v>
      </c>
      <c r="P143" s="54" t="s">
        <v>43</v>
      </c>
      <c r="Q143" s="54" t="s">
        <v>43</v>
      </c>
      <c r="R143" s="68" t="s">
        <v>120</v>
      </c>
      <c r="S143" s="93" t="s">
        <v>0</v>
      </c>
      <c r="T143" s="59">
        <f>0+236</f>
        <v>236</v>
      </c>
      <c r="U143" s="59">
        <f>1036-229-48-141.6</f>
        <v>617.4</v>
      </c>
      <c r="V143" s="59">
        <f>1036-150-281.7-227.2</f>
        <v>377.09999999999997</v>
      </c>
      <c r="W143" s="59">
        <f>886-30-328.2</f>
        <v>527.79999999999995</v>
      </c>
      <c r="X143" s="59">
        <f>886-30</f>
        <v>856</v>
      </c>
      <c r="Y143" s="59">
        <v>886</v>
      </c>
      <c r="Z143" s="59">
        <v>886</v>
      </c>
      <c r="AA143" s="59">
        <f>SUM(T143:Z143)</f>
        <v>4386.3</v>
      </c>
      <c r="AB143" s="58">
        <v>2024</v>
      </c>
      <c r="AC143" s="33"/>
    </row>
    <row r="144" spans="1:32" ht="30.6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61" t="s">
        <v>121</v>
      </c>
      <c r="S144" s="152" t="s">
        <v>50</v>
      </c>
      <c r="T144" s="2">
        <v>0</v>
      </c>
      <c r="U144" s="2">
        <v>1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49">
        <f>SUM(U144:Z144)</f>
        <v>1</v>
      </c>
      <c r="AB144" s="41">
        <v>2019</v>
      </c>
      <c r="AC144" s="122"/>
      <c r="AD144" s="108"/>
      <c r="AE144" s="108"/>
      <c r="AF144" s="108"/>
    </row>
    <row r="145" spans="1:32" ht="31.5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61" t="s">
        <v>171</v>
      </c>
      <c r="S145" s="152" t="s">
        <v>50</v>
      </c>
      <c r="T145" s="2">
        <v>3</v>
      </c>
      <c r="U145" s="2">
        <f>5-1</f>
        <v>4</v>
      </c>
      <c r="V145" s="2">
        <f t="shared" ref="V145:Z145" si="50">5-1</f>
        <v>4</v>
      </c>
      <c r="W145" s="2">
        <f t="shared" si="50"/>
        <v>4</v>
      </c>
      <c r="X145" s="2">
        <f t="shared" si="50"/>
        <v>4</v>
      </c>
      <c r="Y145" s="2">
        <f t="shared" si="50"/>
        <v>4</v>
      </c>
      <c r="Z145" s="2">
        <f t="shared" si="50"/>
        <v>4</v>
      </c>
      <c r="AA145" s="49">
        <v>4</v>
      </c>
      <c r="AB145" s="41">
        <v>2024</v>
      </c>
      <c r="AC145" s="33"/>
      <c r="AD145" s="108"/>
      <c r="AE145" s="108"/>
      <c r="AF145" s="108"/>
    </row>
    <row r="146" spans="1:32" ht="31.5" x14ac:dyDescent="0.25">
      <c r="A146" s="54" t="s">
        <v>18</v>
      </c>
      <c r="B146" s="54" t="s">
        <v>19</v>
      </c>
      <c r="C146" s="54" t="s">
        <v>20</v>
      </c>
      <c r="D146" s="54" t="s">
        <v>18</v>
      </c>
      <c r="E146" s="54" t="s">
        <v>21</v>
      </c>
      <c r="F146" s="54" t="s">
        <v>18</v>
      </c>
      <c r="G146" s="54" t="s">
        <v>22</v>
      </c>
      <c r="H146" s="54" t="s">
        <v>19</v>
      </c>
      <c r="I146" s="54" t="s">
        <v>24</v>
      </c>
      <c r="J146" s="54" t="s">
        <v>18</v>
      </c>
      <c r="K146" s="54" t="s">
        <v>18</v>
      </c>
      <c r="L146" s="54" t="s">
        <v>19</v>
      </c>
      <c r="M146" s="54" t="s">
        <v>43</v>
      </c>
      <c r="N146" s="54" t="s">
        <v>43</v>
      </c>
      <c r="O146" s="54" t="s">
        <v>43</v>
      </c>
      <c r="P146" s="54" t="s">
        <v>43</v>
      </c>
      <c r="Q146" s="54" t="s">
        <v>43</v>
      </c>
      <c r="R146" s="68" t="s">
        <v>166</v>
      </c>
      <c r="S146" s="93" t="s">
        <v>0</v>
      </c>
      <c r="T146" s="59">
        <f>0+550+1550.7</f>
        <v>2100.6999999999998</v>
      </c>
      <c r="U146" s="59">
        <f>0+4000</f>
        <v>4000</v>
      </c>
      <c r="V146" s="59">
        <f>0</f>
        <v>0</v>
      </c>
      <c r="W146" s="59">
        <f>0</f>
        <v>0</v>
      </c>
      <c r="X146" s="59">
        <f>3179.1+3307.4</f>
        <v>6486.5</v>
      </c>
      <c r="Y146" s="59">
        <f>0</f>
        <v>0</v>
      </c>
      <c r="Z146" s="59">
        <f>0</f>
        <v>0</v>
      </c>
      <c r="AA146" s="59">
        <f>SUM(T146:Z146)</f>
        <v>12587.2</v>
      </c>
      <c r="AB146" s="58">
        <v>2022</v>
      </c>
      <c r="AC146" s="33"/>
    </row>
    <row r="147" spans="1:32" ht="30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61" t="s">
        <v>165</v>
      </c>
      <c r="S147" s="152" t="s">
        <v>38</v>
      </c>
      <c r="T147" s="2">
        <v>2</v>
      </c>
      <c r="U147" s="2">
        <v>1</v>
      </c>
      <c r="V147" s="2">
        <v>0</v>
      </c>
      <c r="W147" s="2">
        <v>0</v>
      </c>
      <c r="X147" s="2">
        <v>4</v>
      </c>
      <c r="Y147" s="2">
        <v>0</v>
      </c>
      <c r="Z147" s="2">
        <v>0</v>
      </c>
      <c r="AA147" s="49">
        <f>SUM(T147:Z147)</f>
        <v>7</v>
      </c>
      <c r="AB147" s="41">
        <v>2022</v>
      </c>
      <c r="AC147" s="122"/>
      <c r="AD147" s="108"/>
      <c r="AE147" s="108"/>
      <c r="AF147" s="108"/>
    </row>
    <row r="148" spans="1:32" ht="15.6" customHeight="1" x14ac:dyDescent="0.25">
      <c r="A148" s="54"/>
      <c r="B148" s="54"/>
      <c r="C148" s="54"/>
      <c r="D148" s="54" t="s">
        <v>18</v>
      </c>
      <c r="E148" s="54" t="s">
        <v>21</v>
      </c>
      <c r="F148" s="54" t="s">
        <v>18</v>
      </c>
      <c r="G148" s="54" t="s">
        <v>22</v>
      </c>
      <c r="H148" s="54" t="s">
        <v>19</v>
      </c>
      <c r="I148" s="54" t="s">
        <v>24</v>
      </c>
      <c r="J148" s="54" t="s">
        <v>18</v>
      </c>
      <c r="K148" s="54" t="s">
        <v>235</v>
      </c>
      <c r="L148" s="54" t="s">
        <v>20</v>
      </c>
      <c r="M148" s="54" t="s">
        <v>18</v>
      </c>
      <c r="N148" s="54" t="s">
        <v>18</v>
      </c>
      <c r="O148" s="54" t="s">
        <v>18</v>
      </c>
      <c r="P148" s="54" t="s">
        <v>18</v>
      </c>
      <c r="Q148" s="54" t="s">
        <v>18</v>
      </c>
      <c r="R148" s="158" t="s">
        <v>256</v>
      </c>
      <c r="S148" s="180" t="s">
        <v>0</v>
      </c>
      <c r="T148" s="59">
        <v>0</v>
      </c>
      <c r="U148" s="59">
        <f>SUM(U149:U152)</f>
        <v>116632.7</v>
      </c>
      <c r="V148" s="59">
        <f>V150+V149+V151+V152+V153</f>
        <v>125649.7</v>
      </c>
      <c r="W148" s="59">
        <f>SUM(W149:W152)</f>
        <v>80922.399999999994</v>
      </c>
      <c r="X148" s="59">
        <f>SUM(X150:X154)</f>
        <v>100500</v>
      </c>
      <c r="Y148" s="59">
        <f t="shared" ref="Y148:Z148" si="51">SUM(Y150:Y154)</f>
        <v>88505.8</v>
      </c>
      <c r="Z148" s="59">
        <f t="shared" si="51"/>
        <v>5000</v>
      </c>
      <c r="AA148" s="59">
        <f>SUM(T148:Z148)</f>
        <v>517210.6</v>
      </c>
      <c r="AB148" s="58">
        <v>2024</v>
      </c>
      <c r="AD148" s="103"/>
      <c r="AE148" s="103"/>
    </row>
    <row r="149" spans="1:32" ht="15.75" hidden="1" customHeight="1" x14ac:dyDescent="0.25">
      <c r="A149" s="54" t="s">
        <v>18</v>
      </c>
      <c r="B149" s="54" t="s">
        <v>19</v>
      </c>
      <c r="C149" s="54" t="s">
        <v>20</v>
      </c>
      <c r="D149" s="54" t="s">
        <v>18</v>
      </c>
      <c r="E149" s="54" t="s">
        <v>21</v>
      </c>
      <c r="F149" s="54" t="s">
        <v>18</v>
      </c>
      <c r="G149" s="54" t="s">
        <v>22</v>
      </c>
      <c r="H149" s="54" t="s">
        <v>19</v>
      </c>
      <c r="I149" s="54" t="s">
        <v>24</v>
      </c>
      <c r="J149" s="54" t="s">
        <v>18</v>
      </c>
      <c r="K149" s="54" t="s">
        <v>235</v>
      </c>
      <c r="L149" s="54" t="s">
        <v>20</v>
      </c>
      <c r="M149" s="54" t="s">
        <v>21</v>
      </c>
      <c r="N149" s="54" t="s">
        <v>21</v>
      </c>
      <c r="O149" s="54" t="s">
        <v>21</v>
      </c>
      <c r="P149" s="54" t="s">
        <v>21</v>
      </c>
      <c r="Q149" s="54" t="s">
        <v>19</v>
      </c>
      <c r="R149" s="159"/>
      <c r="S149" s="181"/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59">
        <f>SUM(T149:Z149)</f>
        <v>0</v>
      </c>
      <c r="AB149" s="58">
        <v>2024</v>
      </c>
      <c r="AD149" s="103"/>
      <c r="AE149" s="103"/>
    </row>
    <row r="150" spans="1:32" x14ac:dyDescent="0.25">
      <c r="A150" s="54" t="s">
        <v>18</v>
      </c>
      <c r="B150" s="54" t="s">
        <v>24</v>
      </c>
      <c r="C150" s="54" t="s">
        <v>22</v>
      </c>
      <c r="D150" s="54" t="s">
        <v>18</v>
      </c>
      <c r="E150" s="54" t="s">
        <v>21</v>
      </c>
      <c r="F150" s="54" t="s">
        <v>18</v>
      </c>
      <c r="G150" s="54" t="s">
        <v>22</v>
      </c>
      <c r="H150" s="54" t="s">
        <v>19</v>
      </c>
      <c r="I150" s="54" t="s">
        <v>24</v>
      </c>
      <c r="J150" s="54" t="s">
        <v>18</v>
      </c>
      <c r="K150" s="54" t="s">
        <v>235</v>
      </c>
      <c r="L150" s="54" t="s">
        <v>20</v>
      </c>
      <c r="M150" s="54" t="s">
        <v>21</v>
      </c>
      <c r="N150" s="54" t="s">
        <v>21</v>
      </c>
      <c r="O150" s="54" t="s">
        <v>21</v>
      </c>
      <c r="P150" s="54" t="s">
        <v>21</v>
      </c>
      <c r="Q150" s="54" t="s">
        <v>19</v>
      </c>
      <c r="R150" s="159"/>
      <c r="S150" s="181"/>
      <c r="T150" s="1">
        <v>0</v>
      </c>
      <c r="U150" s="1">
        <f>115690</f>
        <v>115690</v>
      </c>
      <c r="V150" s="1">
        <v>112612.2</v>
      </c>
      <c r="W150" s="1">
        <f>77969.8+435.9</f>
        <v>78405.7</v>
      </c>
      <c r="X150" s="1">
        <f>74023.7+111.3</f>
        <v>74135</v>
      </c>
      <c r="Y150" s="1">
        <v>79298.8</v>
      </c>
      <c r="Z150" s="1">
        <v>5000</v>
      </c>
      <c r="AA150" s="59">
        <f t="shared" ref="AA150:AA152" si="52">SUM(T150:Z150)</f>
        <v>465141.7</v>
      </c>
      <c r="AB150" s="58">
        <v>2024</v>
      </c>
      <c r="AD150" s="103"/>
      <c r="AE150" s="103"/>
    </row>
    <row r="151" spans="1:32" ht="15.6" hidden="1" customHeight="1" x14ac:dyDescent="0.25">
      <c r="A151" s="54" t="s">
        <v>18</v>
      </c>
      <c r="B151" s="54" t="s">
        <v>19</v>
      </c>
      <c r="C151" s="54" t="s">
        <v>20</v>
      </c>
      <c r="D151" s="54" t="s">
        <v>18</v>
      </c>
      <c r="E151" s="54" t="s">
        <v>21</v>
      </c>
      <c r="F151" s="54" t="s">
        <v>18</v>
      </c>
      <c r="G151" s="54" t="s">
        <v>22</v>
      </c>
      <c r="H151" s="54" t="s">
        <v>19</v>
      </c>
      <c r="I151" s="54" t="s">
        <v>24</v>
      </c>
      <c r="J151" s="54" t="s">
        <v>18</v>
      </c>
      <c r="K151" s="54" t="s">
        <v>18</v>
      </c>
      <c r="L151" s="54" t="s">
        <v>19</v>
      </c>
      <c r="M151" s="54" t="s">
        <v>43</v>
      </c>
      <c r="N151" s="54" t="s">
        <v>43</v>
      </c>
      <c r="O151" s="54" t="s">
        <v>43</v>
      </c>
      <c r="P151" s="54" t="s">
        <v>43</v>
      </c>
      <c r="Q151" s="54" t="s">
        <v>43</v>
      </c>
      <c r="R151" s="159"/>
      <c r="S151" s="181"/>
      <c r="T151" s="1">
        <v>0</v>
      </c>
      <c r="U151" s="1">
        <f>840+131.2-50-921.2</f>
        <v>0</v>
      </c>
      <c r="V151" s="1">
        <f>150+100+100-350</f>
        <v>0</v>
      </c>
      <c r="W151" s="1">
        <v>0</v>
      </c>
      <c r="X151" s="1">
        <v>0</v>
      </c>
      <c r="Y151" s="1">
        <v>0</v>
      </c>
      <c r="Z151" s="1">
        <v>0</v>
      </c>
      <c r="AA151" s="59">
        <f t="shared" ref="AA151" si="53">SUM(T151:Z151)</f>
        <v>0</v>
      </c>
      <c r="AB151" s="58">
        <v>2020</v>
      </c>
      <c r="AD151" s="103"/>
      <c r="AE151" s="103"/>
    </row>
    <row r="152" spans="1:32" x14ac:dyDescent="0.25">
      <c r="A152" s="54" t="s">
        <v>18</v>
      </c>
      <c r="B152" s="54" t="s">
        <v>24</v>
      </c>
      <c r="C152" s="54" t="s">
        <v>22</v>
      </c>
      <c r="D152" s="54" t="s">
        <v>18</v>
      </c>
      <c r="E152" s="54" t="s">
        <v>21</v>
      </c>
      <c r="F152" s="54" t="s">
        <v>18</v>
      </c>
      <c r="G152" s="54" t="s">
        <v>22</v>
      </c>
      <c r="H152" s="54" t="s">
        <v>19</v>
      </c>
      <c r="I152" s="54" t="s">
        <v>24</v>
      </c>
      <c r="J152" s="54" t="s">
        <v>18</v>
      </c>
      <c r="K152" s="54" t="s">
        <v>235</v>
      </c>
      <c r="L152" s="54" t="s">
        <v>20</v>
      </c>
      <c r="M152" s="54" t="s">
        <v>18</v>
      </c>
      <c r="N152" s="54" t="s">
        <v>18</v>
      </c>
      <c r="O152" s="54" t="s">
        <v>21</v>
      </c>
      <c r="P152" s="54" t="s">
        <v>21</v>
      </c>
      <c r="Q152" s="54" t="s">
        <v>19</v>
      </c>
      <c r="R152" s="159"/>
      <c r="S152" s="181"/>
      <c r="T152" s="1">
        <v>0</v>
      </c>
      <c r="U152" s="1">
        <f>2865.5-1232.8-690</f>
        <v>942.7</v>
      </c>
      <c r="V152" s="1">
        <v>4437.5</v>
      </c>
      <c r="W152" s="1">
        <f>4265.6-1748.9</f>
        <v>2516.7000000000003</v>
      </c>
      <c r="X152" s="1">
        <f>6584.3+9447.3</f>
        <v>16031.599999999999</v>
      </c>
      <c r="Y152" s="1">
        <v>9207</v>
      </c>
      <c r="Z152" s="1">
        <v>0</v>
      </c>
      <c r="AA152" s="59">
        <f t="shared" si="52"/>
        <v>33135.5</v>
      </c>
      <c r="AB152" s="58">
        <v>2023</v>
      </c>
      <c r="AD152" s="103"/>
      <c r="AE152" s="103"/>
    </row>
    <row r="153" spans="1:32" x14ac:dyDescent="0.25">
      <c r="A153" s="54" t="s">
        <v>18</v>
      </c>
      <c r="B153" s="54" t="s">
        <v>24</v>
      </c>
      <c r="C153" s="54" t="s">
        <v>22</v>
      </c>
      <c r="D153" s="54" t="s">
        <v>18</v>
      </c>
      <c r="E153" s="54" t="s">
        <v>21</v>
      </c>
      <c r="F153" s="54" t="s">
        <v>18</v>
      </c>
      <c r="G153" s="54" t="s">
        <v>21</v>
      </c>
      <c r="H153" s="54" t="s">
        <v>19</v>
      </c>
      <c r="I153" s="54" t="s">
        <v>24</v>
      </c>
      <c r="J153" s="54" t="s">
        <v>18</v>
      </c>
      <c r="K153" s="54" t="s">
        <v>235</v>
      </c>
      <c r="L153" s="54" t="s">
        <v>20</v>
      </c>
      <c r="M153" s="54" t="s">
        <v>21</v>
      </c>
      <c r="N153" s="54" t="s">
        <v>21</v>
      </c>
      <c r="O153" s="54" t="s">
        <v>21</v>
      </c>
      <c r="P153" s="54" t="s">
        <v>21</v>
      </c>
      <c r="Q153" s="54" t="s">
        <v>19</v>
      </c>
      <c r="R153" s="159"/>
      <c r="S153" s="181"/>
      <c r="T153" s="1">
        <v>0</v>
      </c>
      <c r="U153" s="1">
        <v>0</v>
      </c>
      <c r="V153" s="1">
        <v>8600</v>
      </c>
      <c r="W153" s="1">
        <v>0</v>
      </c>
      <c r="X153" s="1">
        <v>0</v>
      </c>
      <c r="Y153" s="1">
        <v>0</v>
      </c>
      <c r="Z153" s="1">
        <v>0</v>
      </c>
      <c r="AA153" s="59">
        <f t="shared" ref="AA153:AA154" si="54">SUM(T153:Z153)</f>
        <v>8600</v>
      </c>
      <c r="AB153" s="58">
        <v>2020</v>
      </c>
      <c r="AD153" s="103"/>
      <c r="AE153" s="103"/>
    </row>
    <row r="154" spans="1:32" x14ac:dyDescent="0.25">
      <c r="A154" s="54" t="s">
        <v>18</v>
      </c>
      <c r="B154" s="54" t="s">
        <v>24</v>
      </c>
      <c r="C154" s="54" t="s">
        <v>22</v>
      </c>
      <c r="D154" s="54" t="s">
        <v>18</v>
      </c>
      <c r="E154" s="54" t="s">
        <v>21</v>
      </c>
      <c r="F154" s="54" t="s">
        <v>18</v>
      </c>
      <c r="G154" s="54" t="s">
        <v>22</v>
      </c>
      <c r="H154" s="54" t="s">
        <v>19</v>
      </c>
      <c r="I154" s="54" t="s">
        <v>24</v>
      </c>
      <c r="J154" s="54" t="s">
        <v>18</v>
      </c>
      <c r="K154" s="54" t="s">
        <v>18</v>
      </c>
      <c r="L154" s="54" t="s">
        <v>19</v>
      </c>
      <c r="M154" s="54" t="s">
        <v>18</v>
      </c>
      <c r="N154" s="54" t="s">
        <v>19</v>
      </c>
      <c r="O154" s="54" t="s">
        <v>24</v>
      </c>
      <c r="P154" s="54" t="s">
        <v>18</v>
      </c>
      <c r="Q154" s="54" t="s">
        <v>18</v>
      </c>
      <c r="R154" s="160"/>
      <c r="S154" s="182"/>
      <c r="T154" s="1">
        <v>0</v>
      </c>
      <c r="U154" s="1">
        <v>0</v>
      </c>
      <c r="V154" s="1">
        <v>0</v>
      </c>
      <c r="W154" s="1">
        <v>0</v>
      </c>
      <c r="X154" s="1">
        <v>10333.4</v>
      </c>
      <c r="Y154" s="1">
        <v>0</v>
      </c>
      <c r="Z154" s="1">
        <v>0</v>
      </c>
      <c r="AA154" s="59">
        <f t="shared" si="54"/>
        <v>10333.4</v>
      </c>
      <c r="AB154" s="58">
        <v>2022</v>
      </c>
      <c r="AD154" s="103"/>
      <c r="AE154" s="103"/>
    </row>
    <row r="155" spans="1:32" ht="31.5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61" t="s">
        <v>74</v>
      </c>
      <c r="S155" s="62" t="s">
        <v>38</v>
      </c>
      <c r="T155" s="2">
        <v>0</v>
      </c>
      <c r="U155" s="2">
        <v>6</v>
      </c>
      <c r="V155" s="44">
        <v>4</v>
      </c>
      <c r="W155" s="44">
        <v>2</v>
      </c>
      <c r="X155" s="44">
        <v>3</v>
      </c>
      <c r="Y155" s="2">
        <v>2</v>
      </c>
      <c r="Z155" s="2">
        <v>3</v>
      </c>
      <c r="AA155" s="49">
        <f>SUM(T155:Z155)</f>
        <v>20</v>
      </c>
      <c r="AB155" s="152">
        <v>2024</v>
      </c>
      <c r="AD155" s="103"/>
      <c r="AE155" s="103"/>
    </row>
    <row r="156" spans="1:32" ht="31.1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61" t="s">
        <v>75</v>
      </c>
      <c r="S156" s="62" t="s">
        <v>52</v>
      </c>
      <c r="T156" s="4">
        <v>0</v>
      </c>
      <c r="U156" s="4">
        <v>58.4</v>
      </c>
      <c r="V156" s="3">
        <f>33.1+13.1</f>
        <v>46.2</v>
      </c>
      <c r="W156" s="3">
        <f>37.9+28.5</f>
        <v>66.400000000000006</v>
      </c>
      <c r="X156" s="3">
        <f>12.5+15.7+28.5</f>
        <v>56.7</v>
      </c>
      <c r="Y156" s="4">
        <f>15.7+16.3</f>
        <v>32</v>
      </c>
      <c r="Z156" s="4">
        <v>64.3</v>
      </c>
      <c r="AA156" s="6">
        <f>SUM(T156:Z156)</f>
        <v>324</v>
      </c>
      <c r="AB156" s="41">
        <v>2024</v>
      </c>
      <c r="AD156" s="103"/>
      <c r="AE156" s="103"/>
    </row>
    <row r="157" spans="1:32" ht="31.5" x14ac:dyDescent="0.25">
      <c r="A157" s="54" t="s">
        <v>18</v>
      </c>
      <c r="B157" s="54" t="s">
        <v>18</v>
      </c>
      <c r="C157" s="54" t="s">
        <v>25</v>
      </c>
      <c r="D157" s="54" t="s">
        <v>18</v>
      </c>
      <c r="E157" s="54" t="s">
        <v>21</v>
      </c>
      <c r="F157" s="54" t="s">
        <v>18</v>
      </c>
      <c r="G157" s="54" t="s">
        <v>22</v>
      </c>
      <c r="H157" s="54" t="s">
        <v>19</v>
      </c>
      <c r="I157" s="54" t="s">
        <v>24</v>
      </c>
      <c r="J157" s="54" t="s">
        <v>18</v>
      </c>
      <c r="K157" s="54" t="s">
        <v>18</v>
      </c>
      <c r="L157" s="54" t="s">
        <v>19</v>
      </c>
      <c r="M157" s="54" t="s">
        <v>19</v>
      </c>
      <c r="N157" s="54" t="s">
        <v>19</v>
      </c>
      <c r="O157" s="54" t="s">
        <v>19</v>
      </c>
      <c r="P157" s="54" t="s">
        <v>169</v>
      </c>
      <c r="Q157" s="54" t="s">
        <v>18</v>
      </c>
      <c r="R157" s="68" t="s">
        <v>301</v>
      </c>
      <c r="S157" s="55" t="s">
        <v>0</v>
      </c>
      <c r="T157" s="59">
        <v>0</v>
      </c>
      <c r="U157" s="59">
        <f>103354.8-103354.8</f>
        <v>0</v>
      </c>
      <c r="V157" s="59">
        <v>1000</v>
      </c>
      <c r="W157" s="59">
        <v>0</v>
      </c>
      <c r="X157" s="59">
        <v>0</v>
      </c>
      <c r="Y157" s="59">
        <v>0</v>
      </c>
      <c r="Z157" s="59">
        <v>0</v>
      </c>
      <c r="AA157" s="59">
        <f>SUM(T157:Y157)</f>
        <v>1000</v>
      </c>
      <c r="AB157" s="58">
        <v>2020</v>
      </c>
      <c r="AD157" s="103"/>
      <c r="AE157" s="103"/>
    </row>
    <row r="158" spans="1:32" ht="31.5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300</v>
      </c>
      <c r="S158" s="41" t="s">
        <v>38</v>
      </c>
      <c r="T158" s="44">
        <v>0</v>
      </c>
      <c r="U158" s="44">
        <v>0</v>
      </c>
      <c r="V158" s="44">
        <v>1</v>
      </c>
      <c r="W158" s="44">
        <v>0</v>
      </c>
      <c r="X158" s="44">
        <v>0</v>
      </c>
      <c r="Y158" s="44">
        <v>0</v>
      </c>
      <c r="Z158" s="44">
        <v>0</v>
      </c>
      <c r="AA158" s="49">
        <f t="shared" ref="AA158" si="55">SUM(T158:Y158)</f>
        <v>1</v>
      </c>
      <c r="AB158" s="73">
        <v>2020</v>
      </c>
      <c r="AD158" s="103"/>
      <c r="AE158" s="103"/>
    </row>
    <row r="159" spans="1:32" ht="47.25" x14ac:dyDescent="0.25">
      <c r="A159" s="54"/>
      <c r="B159" s="54"/>
      <c r="C159" s="54"/>
      <c r="D159" s="54" t="s">
        <v>18</v>
      </c>
      <c r="E159" s="54" t="s">
        <v>21</v>
      </c>
      <c r="F159" s="54" t="s">
        <v>18</v>
      </c>
      <c r="G159" s="54" t="s">
        <v>22</v>
      </c>
      <c r="H159" s="54" t="s">
        <v>19</v>
      </c>
      <c r="I159" s="54" t="s">
        <v>24</v>
      </c>
      <c r="J159" s="54" t="s">
        <v>18</v>
      </c>
      <c r="K159" s="54" t="s">
        <v>18</v>
      </c>
      <c r="L159" s="54" t="s">
        <v>19</v>
      </c>
      <c r="M159" s="54" t="s">
        <v>43</v>
      </c>
      <c r="N159" s="54" t="s">
        <v>43</v>
      </c>
      <c r="O159" s="54" t="s">
        <v>43</v>
      </c>
      <c r="P159" s="54" t="s">
        <v>43</v>
      </c>
      <c r="Q159" s="54" t="s">
        <v>43</v>
      </c>
      <c r="R159" s="68" t="s">
        <v>303</v>
      </c>
      <c r="S159" s="58" t="s">
        <v>0</v>
      </c>
      <c r="T159" s="59">
        <v>0</v>
      </c>
      <c r="U159" s="59">
        <f>103354.8-103354.8</f>
        <v>0</v>
      </c>
      <c r="V159" s="59">
        <v>0</v>
      </c>
      <c r="W159" s="59">
        <f t="shared" ref="W159:Z159" si="56">W161+W163+W165+W167</f>
        <v>2070.3000000000002</v>
      </c>
      <c r="X159" s="59">
        <f t="shared" si="56"/>
        <v>2170.9</v>
      </c>
      <c r="Y159" s="59">
        <f t="shared" si="56"/>
        <v>6800</v>
      </c>
      <c r="Z159" s="59">
        <f t="shared" si="56"/>
        <v>7000</v>
      </c>
      <c r="AA159" s="59">
        <f t="shared" ref="AA159:AA168" si="57">SUM(T159:Z159)</f>
        <v>18041.2</v>
      </c>
      <c r="AB159" s="58">
        <v>2024</v>
      </c>
      <c r="AD159" s="103"/>
      <c r="AE159" s="103"/>
    </row>
    <row r="160" spans="1:32" ht="47.25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0" t="s">
        <v>318</v>
      </c>
      <c r="S160" s="41" t="s">
        <v>52</v>
      </c>
      <c r="T160" s="44">
        <v>0</v>
      </c>
      <c r="U160" s="44">
        <v>0</v>
      </c>
      <c r="V160" s="44">
        <v>0</v>
      </c>
      <c r="W160" s="3">
        <f t="shared" ref="W160:Z160" si="58">W162+W164+W166+W168</f>
        <v>796.2</v>
      </c>
      <c r="X160" s="3">
        <f t="shared" si="58"/>
        <v>1033.0000000000002</v>
      </c>
      <c r="Y160" s="3">
        <f t="shared" si="58"/>
        <v>817.4</v>
      </c>
      <c r="Z160" s="3">
        <f t="shared" si="58"/>
        <v>817.4</v>
      </c>
      <c r="AA160" s="49">
        <f t="shared" si="57"/>
        <v>3464.0000000000005</v>
      </c>
      <c r="AB160" s="41">
        <v>2024</v>
      </c>
      <c r="AD160" s="103"/>
      <c r="AE160" s="103"/>
    </row>
    <row r="161" spans="1:31" ht="47.25" x14ac:dyDescent="0.25">
      <c r="A161" s="54" t="s">
        <v>18</v>
      </c>
      <c r="B161" s="54" t="s">
        <v>18</v>
      </c>
      <c r="C161" s="54" t="s">
        <v>22</v>
      </c>
      <c r="D161" s="54" t="s">
        <v>18</v>
      </c>
      <c r="E161" s="54" t="s">
        <v>21</v>
      </c>
      <c r="F161" s="54" t="s">
        <v>18</v>
      </c>
      <c r="G161" s="54" t="s">
        <v>22</v>
      </c>
      <c r="H161" s="54" t="s">
        <v>19</v>
      </c>
      <c r="I161" s="54" t="s">
        <v>24</v>
      </c>
      <c r="J161" s="54" t="s">
        <v>18</v>
      </c>
      <c r="K161" s="54" t="s">
        <v>18</v>
      </c>
      <c r="L161" s="54" t="s">
        <v>19</v>
      </c>
      <c r="M161" s="54" t="s">
        <v>43</v>
      </c>
      <c r="N161" s="54" t="s">
        <v>43</v>
      </c>
      <c r="O161" s="54" t="s">
        <v>43</v>
      </c>
      <c r="P161" s="54" t="s">
        <v>43</v>
      </c>
      <c r="Q161" s="54" t="s">
        <v>43</v>
      </c>
      <c r="R161" s="68" t="s">
        <v>303</v>
      </c>
      <c r="S161" s="55" t="s">
        <v>0</v>
      </c>
      <c r="T161" s="1">
        <v>0</v>
      </c>
      <c r="U161" s="1">
        <f t="shared" ref="U161" si="59">103354.8-103354.8</f>
        <v>0</v>
      </c>
      <c r="V161" s="1">
        <v>0</v>
      </c>
      <c r="W161" s="1">
        <f>2000-1135.9-630.3</f>
        <v>233.79999999999995</v>
      </c>
      <c r="X161" s="1">
        <f>2000-177-1287</f>
        <v>536</v>
      </c>
      <c r="Y161" s="1">
        <v>2000</v>
      </c>
      <c r="Z161" s="1">
        <v>2000</v>
      </c>
      <c r="AA161" s="59">
        <f t="shared" si="57"/>
        <v>4769.8</v>
      </c>
      <c r="AB161" s="58">
        <v>2024</v>
      </c>
      <c r="AD161" s="103"/>
      <c r="AE161" s="103"/>
    </row>
    <row r="162" spans="1:31" ht="47.25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74" t="s">
        <v>319</v>
      </c>
      <c r="S162" s="41" t="s">
        <v>52</v>
      </c>
      <c r="T162" s="44">
        <v>0</v>
      </c>
      <c r="U162" s="44">
        <v>0</v>
      </c>
      <c r="V162" s="44">
        <v>0</v>
      </c>
      <c r="W162" s="3">
        <v>135</v>
      </c>
      <c r="X162" s="3">
        <v>222.3</v>
      </c>
      <c r="Y162" s="3">
        <v>229.4</v>
      </c>
      <c r="Z162" s="3">
        <v>229.4</v>
      </c>
      <c r="AA162" s="6">
        <f t="shared" si="57"/>
        <v>816.1</v>
      </c>
      <c r="AB162" s="41">
        <v>2024</v>
      </c>
      <c r="AD162" s="103"/>
      <c r="AE162" s="103"/>
    </row>
    <row r="163" spans="1:31" ht="47.25" x14ac:dyDescent="0.25">
      <c r="A163" s="54" t="s">
        <v>18</v>
      </c>
      <c r="B163" s="54" t="s">
        <v>18</v>
      </c>
      <c r="C163" s="54" t="s">
        <v>24</v>
      </c>
      <c r="D163" s="54" t="s">
        <v>18</v>
      </c>
      <c r="E163" s="54" t="s">
        <v>21</v>
      </c>
      <c r="F163" s="54" t="s">
        <v>18</v>
      </c>
      <c r="G163" s="54" t="s">
        <v>22</v>
      </c>
      <c r="H163" s="54" t="s">
        <v>19</v>
      </c>
      <c r="I163" s="54" t="s">
        <v>24</v>
      </c>
      <c r="J163" s="54" t="s">
        <v>18</v>
      </c>
      <c r="K163" s="54" t="s">
        <v>18</v>
      </c>
      <c r="L163" s="54" t="s">
        <v>19</v>
      </c>
      <c r="M163" s="54" t="s">
        <v>43</v>
      </c>
      <c r="N163" s="54" t="s">
        <v>43</v>
      </c>
      <c r="O163" s="54" t="s">
        <v>43</v>
      </c>
      <c r="P163" s="54" t="s">
        <v>43</v>
      </c>
      <c r="Q163" s="54" t="s">
        <v>43</v>
      </c>
      <c r="R163" s="68" t="s">
        <v>303</v>
      </c>
      <c r="S163" s="55" t="s">
        <v>0</v>
      </c>
      <c r="T163" s="1">
        <v>0</v>
      </c>
      <c r="U163" s="1">
        <f t="shared" ref="U163" si="60">103354.8-103354.8</f>
        <v>0</v>
      </c>
      <c r="V163" s="1">
        <v>0</v>
      </c>
      <c r="W163" s="1">
        <f>1500-57.9-698.8-150</f>
        <v>593.29999999999995</v>
      </c>
      <c r="X163" s="1">
        <f>1500-417.3-15-567.7</f>
        <v>500</v>
      </c>
      <c r="Y163" s="1">
        <v>1500</v>
      </c>
      <c r="Z163" s="1">
        <v>1500</v>
      </c>
      <c r="AA163" s="59">
        <f t="shared" si="57"/>
        <v>4093.3</v>
      </c>
      <c r="AB163" s="58">
        <v>2024</v>
      </c>
      <c r="AD163" s="103"/>
      <c r="AE163" s="103"/>
    </row>
    <row r="164" spans="1:31" ht="47.25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61" t="s">
        <v>320</v>
      </c>
      <c r="S164" s="41" t="s">
        <v>52</v>
      </c>
      <c r="T164" s="44">
        <v>0</v>
      </c>
      <c r="U164" s="44">
        <v>0</v>
      </c>
      <c r="V164" s="44">
        <v>0</v>
      </c>
      <c r="W164" s="3">
        <v>197.4</v>
      </c>
      <c r="X164" s="3">
        <v>295.60000000000002</v>
      </c>
      <c r="Y164" s="3">
        <v>172</v>
      </c>
      <c r="Z164" s="3">
        <v>172</v>
      </c>
      <c r="AA164" s="6">
        <f t="shared" si="57"/>
        <v>837</v>
      </c>
      <c r="AB164" s="41">
        <v>2024</v>
      </c>
      <c r="AD164" s="103"/>
      <c r="AE164" s="103"/>
    </row>
    <row r="165" spans="1:31" ht="47.25" x14ac:dyDescent="0.25">
      <c r="A165" s="54" t="s">
        <v>18</v>
      </c>
      <c r="B165" s="54" t="s">
        <v>18</v>
      </c>
      <c r="C165" s="54" t="s">
        <v>21</v>
      </c>
      <c r="D165" s="54" t="s">
        <v>18</v>
      </c>
      <c r="E165" s="54" t="s">
        <v>21</v>
      </c>
      <c r="F165" s="54" t="s">
        <v>18</v>
      </c>
      <c r="G165" s="54" t="s">
        <v>22</v>
      </c>
      <c r="H165" s="54" t="s">
        <v>19</v>
      </c>
      <c r="I165" s="54" t="s">
        <v>24</v>
      </c>
      <c r="J165" s="54" t="s">
        <v>18</v>
      </c>
      <c r="K165" s="54" t="s">
        <v>18</v>
      </c>
      <c r="L165" s="54" t="s">
        <v>19</v>
      </c>
      <c r="M165" s="54" t="s">
        <v>43</v>
      </c>
      <c r="N165" s="54" t="s">
        <v>43</v>
      </c>
      <c r="O165" s="54" t="s">
        <v>43</v>
      </c>
      <c r="P165" s="54" t="s">
        <v>43</v>
      </c>
      <c r="Q165" s="54" t="s">
        <v>43</v>
      </c>
      <c r="R165" s="68" t="s">
        <v>303</v>
      </c>
      <c r="S165" s="55" t="s">
        <v>0</v>
      </c>
      <c r="T165" s="1">
        <v>0</v>
      </c>
      <c r="U165" s="1">
        <f t="shared" ref="U165" si="61">103354.8-103354.8</f>
        <v>0</v>
      </c>
      <c r="V165" s="1">
        <v>0</v>
      </c>
      <c r="W165" s="1">
        <f>2000-26.3-155-153-1074.6</f>
        <v>591.10000000000014</v>
      </c>
      <c r="X165" s="1">
        <f>2000-37-600-245-483.7</f>
        <v>634.29999999999995</v>
      </c>
      <c r="Y165" s="1">
        <v>2000</v>
      </c>
      <c r="Z165" s="1">
        <v>2000</v>
      </c>
      <c r="AA165" s="59">
        <f t="shared" si="57"/>
        <v>5225.3999999999996</v>
      </c>
      <c r="AB165" s="58">
        <v>2024</v>
      </c>
      <c r="AD165" s="103"/>
      <c r="AE165" s="103"/>
    </row>
    <row r="166" spans="1:31" ht="47.25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0" t="s">
        <v>321</v>
      </c>
      <c r="S166" s="41" t="s">
        <v>52</v>
      </c>
      <c r="T166" s="44">
        <v>0</v>
      </c>
      <c r="U166" s="44">
        <v>0</v>
      </c>
      <c r="V166" s="44">
        <v>0</v>
      </c>
      <c r="W166" s="3">
        <v>225</v>
      </c>
      <c r="X166" s="3">
        <v>274.2</v>
      </c>
      <c r="Y166" s="3">
        <v>266</v>
      </c>
      <c r="Z166" s="3">
        <v>266</v>
      </c>
      <c r="AA166" s="6">
        <f t="shared" si="57"/>
        <v>1031.2</v>
      </c>
      <c r="AB166" s="41">
        <v>2024</v>
      </c>
      <c r="AD166" s="103"/>
      <c r="AE166" s="103"/>
    </row>
    <row r="167" spans="1:31" ht="47.25" x14ac:dyDescent="0.25">
      <c r="A167" s="54" t="s">
        <v>18</v>
      </c>
      <c r="B167" s="54" t="s">
        <v>18</v>
      </c>
      <c r="C167" s="54" t="s">
        <v>25</v>
      </c>
      <c r="D167" s="54" t="s">
        <v>18</v>
      </c>
      <c r="E167" s="54" t="s">
        <v>21</v>
      </c>
      <c r="F167" s="54" t="s">
        <v>18</v>
      </c>
      <c r="G167" s="54" t="s">
        <v>22</v>
      </c>
      <c r="H167" s="54" t="s">
        <v>19</v>
      </c>
      <c r="I167" s="54" t="s">
        <v>24</v>
      </c>
      <c r="J167" s="54" t="s">
        <v>18</v>
      </c>
      <c r="K167" s="54" t="s">
        <v>18</v>
      </c>
      <c r="L167" s="54" t="s">
        <v>19</v>
      </c>
      <c r="M167" s="54" t="s">
        <v>43</v>
      </c>
      <c r="N167" s="54" t="s">
        <v>43</v>
      </c>
      <c r="O167" s="54" t="s">
        <v>43</v>
      </c>
      <c r="P167" s="54" t="s">
        <v>43</v>
      </c>
      <c r="Q167" s="54" t="s">
        <v>43</v>
      </c>
      <c r="R167" s="68" t="s">
        <v>303</v>
      </c>
      <c r="S167" s="55" t="s">
        <v>0</v>
      </c>
      <c r="T167" s="1">
        <v>0</v>
      </c>
      <c r="U167" s="1">
        <f t="shared" ref="U167" si="62">103354.8-103354.8</f>
        <v>0</v>
      </c>
      <c r="V167" s="1">
        <v>0</v>
      </c>
      <c r="W167" s="1">
        <f>1500-817.5-30.4</f>
        <v>652.1</v>
      </c>
      <c r="X167" s="1">
        <f>1500-999.4</f>
        <v>500.6</v>
      </c>
      <c r="Y167" s="1">
        <v>1300</v>
      </c>
      <c r="Z167" s="1">
        <v>1500</v>
      </c>
      <c r="AA167" s="59">
        <f t="shared" si="57"/>
        <v>3952.7</v>
      </c>
      <c r="AB167" s="58">
        <v>2024</v>
      </c>
      <c r="AD167" s="103"/>
      <c r="AE167" s="103"/>
    </row>
    <row r="168" spans="1:31" ht="47.2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 t="s">
        <v>322</v>
      </c>
      <c r="S168" s="41" t="s">
        <v>52</v>
      </c>
      <c r="T168" s="44">
        <v>0</v>
      </c>
      <c r="U168" s="44">
        <v>0</v>
      </c>
      <c r="V168" s="44">
        <v>0</v>
      </c>
      <c r="W168" s="3">
        <v>238.8</v>
      </c>
      <c r="X168" s="3">
        <v>240.9</v>
      </c>
      <c r="Y168" s="3">
        <v>150</v>
      </c>
      <c r="Z168" s="3">
        <v>150</v>
      </c>
      <c r="AA168" s="6">
        <f t="shared" si="57"/>
        <v>779.7</v>
      </c>
      <c r="AB168" s="41">
        <v>2024</v>
      </c>
      <c r="AD168" s="103"/>
      <c r="AE168" s="103"/>
    </row>
    <row r="169" spans="1:31" ht="80.25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151" t="s">
        <v>331</v>
      </c>
      <c r="S169" s="55" t="s">
        <v>41</v>
      </c>
      <c r="T169" s="56">
        <v>0</v>
      </c>
      <c r="U169" s="56">
        <v>0</v>
      </c>
      <c r="V169" s="56">
        <v>0</v>
      </c>
      <c r="W169" s="56">
        <v>1</v>
      </c>
      <c r="X169" s="56">
        <v>1</v>
      </c>
      <c r="Y169" s="56">
        <v>1</v>
      </c>
      <c r="Z169" s="56">
        <v>1</v>
      </c>
      <c r="AA169" s="57">
        <v>1</v>
      </c>
      <c r="AB169" s="58">
        <v>2024</v>
      </c>
      <c r="AD169" s="103"/>
      <c r="AE169" s="103"/>
    </row>
    <row r="170" spans="1:31" ht="79.900000000000006" customHeight="1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40" t="s">
        <v>332</v>
      </c>
      <c r="S170" s="62" t="s">
        <v>38</v>
      </c>
      <c r="T170" s="44">
        <v>0</v>
      </c>
      <c r="U170" s="44">
        <v>0</v>
      </c>
      <c r="V170" s="44">
        <v>0</v>
      </c>
      <c r="W170" s="44">
        <v>4</v>
      </c>
      <c r="X170" s="44">
        <v>4</v>
      </c>
      <c r="Y170" s="44">
        <v>4</v>
      </c>
      <c r="Z170" s="44">
        <v>4</v>
      </c>
      <c r="AA170" s="49">
        <f>SUM(T170:Z170)</f>
        <v>16</v>
      </c>
      <c r="AB170" s="41">
        <v>2024</v>
      </c>
      <c r="AD170" s="103"/>
      <c r="AE170" s="103"/>
    </row>
    <row r="171" spans="1:31" ht="78.75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151" t="s">
        <v>333</v>
      </c>
      <c r="S171" s="55" t="s">
        <v>41</v>
      </c>
      <c r="T171" s="56">
        <v>0</v>
      </c>
      <c r="U171" s="56">
        <v>0</v>
      </c>
      <c r="V171" s="56">
        <v>0</v>
      </c>
      <c r="W171" s="56">
        <v>1</v>
      </c>
      <c r="X171" s="56">
        <v>1</v>
      </c>
      <c r="Y171" s="56">
        <v>1</v>
      </c>
      <c r="Z171" s="56">
        <v>1</v>
      </c>
      <c r="AA171" s="57">
        <v>1</v>
      </c>
      <c r="AB171" s="58">
        <v>2024</v>
      </c>
      <c r="AD171" s="103"/>
      <c r="AE171" s="103"/>
    </row>
    <row r="172" spans="1:31" ht="78.75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40" t="s">
        <v>338</v>
      </c>
      <c r="S172" s="62" t="s">
        <v>38</v>
      </c>
      <c r="T172" s="44">
        <v>0</v>
      </c>
      <c r="U172" s="44">
        <v>0</v>
      </c>
      <c r="V172" s="44">
        <v>0</v>
      </c>
      <c r="W172" s="44">
        <v>12</v>
      </c>
      <c r="X172" s="44">
        <v>12</v>
      </c>
      <c r="Y172" s="44">
        <v>12</v>
      </c>
      <c r="Z172" s="44">
        <v>12</v>
      </c>
      <c r="AA172" s="49">
        <f>SUM(T172:Z172)</f>
        <v>48</v>
      </c>
      <c r="AB172" s="41">
        <v>2024</v>
      </c>
      <c r="AD172" s="103"/>
      <c r="AE172" s="103"/>
    </row>
    <row r="173" spans="1:31" s="51" customFormat="1" ht="31.5" x14ac:dyDescent="0.25">
      <c r="A173" s="46"/>
      <c r="B173" s="46"/>
      <c r="C173" s="46"/>
      <c r="D173" s="46"/>
      <c r="E173" s="46"/>
      <c r="F173" s="46"/>
      <c r="G173" s="46"/>
      <c r="H173" s="46" t="s">
        <v>19</v>
      </c>
      <c r="I173" s="46" t="s">
        <v>24</v>
      </c>
      <c r="J173" s="46" t="s">
        <v>18</v>
      </c>
      <c r="K173" s="46" t="s">
        <v>18</v>
      </c>
      <c r="L173" s="46" t="s">
        <v>20</v>
      </c>
      <c r="M173" s="46" t="s">
        <v>18</v>
      </c>
      <c r="N173" s="46" t="s">
        <v>18</v>
      </c>
      <c r="O173" s="46" t="s">
        <v>18</v>
      </c>
      <c r="P173" s="46" t="s">
        <v>18</v>
      </c>
      <c r="Q173" s="46" t="s">
        <v>18</v>
      </c>
      <c r="R173" s="75" t="s">
        <v>56</v>
      </c>
      <c r="S173" s="140" t="s">
        <v>0</v>
      </c>
      <c r="T173" s="139">
        <f>T196+T243+T182+T446</f>
        <v>147061.20000000001</v>
      </c>
      <c r="U173" s="139">
        <f>U196+U243+U182+U446</f>
        <v>108807.59999999998</v>
      </c>
      <c r="V173" s="139">
        <f>V196+V243+V182+V446</f>
        <v>7655.1</v>
      </c>
      <c r="W173" s="139">
        <f>W196+W243+W182+W446+W468</f>
        <v>33106.5</v>
      </c>
      <c r="X173" s="139">
        <f>X196+X243+X182+X446+X468</f>
        <v>57035.899999999994</v>
      </c>
      <c r="Y173" s="139">
        <f>Y196+Y243+Y182+Y446+Y468</f>
        <v>13000</v>
      </c>
      <c r="Z173" s="139">
        <f>Z196+Z243+Z182+Z446+Z468</f>
        <v>20000</v>
      </c>
      <c r="AA173" s="139">
        <f>SUM(T173:Z173)</f>
        <v>386666.29999999993</v>
      </c>
      <c r="AB173" s="140">
        <v>2024</v>
      </c>
      <c r="AC173" s="110"/>
      <c r="AD173" s="50"/>
    </row>
    <row r="174" spans="1:31" s="51" customFormat="1" ht="31.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 t="s">
        <v>229</v>
      </c>
      <c r="S174" s="41" t="s">
        <v>38</v>
      </c>
      <c r="T174" s="2">
        <f>T449+T201+T245</f>
        <v>58</v>
      </c>
      <c r="U174" s="44">
        <f>U449+U201+U245</f>
        <v>42</v>
      </c>
      <c r="V174" s="2">
        <f>V449+V201+V245</f>
        <v>7</v>
      </c>
      <c r="W174" s="2">
        <f>W449+W201+W245+W470</f>
        <v>17</v>
      </c>
      <c r="X174" s="2">
        <f>X449+X201+X245+X470</f>
        <v>14</v>
      </c>
      <c r="Y174" s="2">
        <f>Y449+Y201+Y245+Y470</f>
        <v>12</v>
      </c>
      <c r="Z174" s="2">
        <f>Z449+Z201+Z245+Z470</f>
        <v>16</v>
      </c>
      <c r="AA174" s="45">
        <f>SUM(T174:Z174)</f>
        <v>166</v>
      </c>
      <c r="AB174" s="41">
        <v>2024</v>
      </c>
      <c r="AC174" s="90"/>
      <c r="AD174" s="50"/>
    </row>
    <row r="175" spans="1:31" s="51" customFormat="1" ht="31.5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40" t="s">
        <v>230</v>
      </c>
      <c r="S175" s="41" t="s">
        <v>52</v>
      </c>
      <c r="T175" s="4">
        <f>T449+T199+T244</f>
        <v>63</v>
      </c>
      <c r="U175" s="4">
        <f>U450+U199+U244</f>
        <v>42.2</v>
      </c>
      <c r="V175" s="4">
        <f>V450+V199+V244</f>
        <v>1.7000000000000002</v>
      </c>
      <c r="W175" s="4">
        <f>W450+W199+W244+W469</f>
        <v>11</v>
      </c>
      <c r="X175" s="4">
        <f>X450+X199+X244+X469</f>
        <v>16.8</v>
      </c>
      <c r="Y175" s="4">
        <f>Y450+Y199+Y244+Y469</f>
        <v>12</v>
      </c>
      <c r="Z175" s="4">
        <f>Z450+Z199+Z244+Z469</f>
        <v>19</v>
      </c>
      <c r="AA175" s="5">
        <f>SUM(T175:Z175)</f>
        <v>165.70000000000002</v>
      </c>
      <c r="AB175" s="41">
        <v>2024</v>
      </c>
      <c r="AC175" s="110"/>
      <c r="AD175" s="50"/>
    </row>
    <row r="176" spans="1:31" s="8" customFormat="1" ht="47.25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61" t="s">
        <v>122</v>
      </c>
      <c r="S176" s="152" t="s">
        <v>9</v>
      </c>
      <c r="T176" s="3">
        <f>((4338+39.6)+63)/13987*100</f>
        <v>31.748051762350755</v>
      </c>
      <c r="U176" s="3">
        <f>((4338+39.6)+T175+U175)/13987*100</f>
        <v>32.049760491885323</v>
      </c>
      <c r="V176" s="3">
        <f>((4338+39.6)+U175+V175+T175)/13987*100</f>
        <v>32.061914635018226</v>
      </c>
      <c r="W176" s="3">
        <f>((4338+39.6)+T175+V175+W175+U175)/13987*100</f>
        <v>32.140559090584112</v>
      </c>
      <c r="X176" s="3">
        <f>((4338+39.6)+T175+U175+W175+X175+V175)/13987*100</f>
        <v>32.260670622721101</v>
      </c>
      <c r="Y176" s="3">
        <f>((4338+39.6)+T175+U175+V175+X175+Y175+W175)/13987*100</f>
        <v>32.34646457424752</v>
      </c>
      <c r="Z176" s="3">
        <f>((4338+39.6)+T175+U175+V175+W175+Y175+Z175+X175)/13987*100</f>
        <v>32.482304997497678</v>
      </c>
      <c r="AA176" s="5">
        <f>Z176</f>
        <v>32.482304997497678</v>
      </c>
      <c r="AB176" s="41">
        <v>2024</v>
      </c>
      <c r="AC176" s="102"/>
      <c r="AD176" s="60"/>
    </row>
    <row r="177" spans="1:31" ht="47.25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5" t="s">
        <v>123</v>
      </c>
      <c r="S177" s="152" t="s">
        <v>9</v>
      </c>
      <c r="T177" s="3">
        <f>30/58*100</f>
        <v>51.724137931034484</v>
      </c>
      <c r="U177" s="3">
        <f>22/42*100</f>
        <v>52.380952380952387</v>
      </c>
      <c r="V177" s="3">
        <f>7/7*100</f>
        <v>100</v>
      </c>
      <c r="W177" s="3">
        <f>15/17*100</f>
        <v>88.235294117647058</v>
      </c>
      <c r="X177" s="4">
        <v>91</v>
      </c>
      <c r="Y177" s="4">
        <v>91</v>
      </c>
      <c r="Z177" s="4">
        <v>91</v>
      </c>
      <c r="AA177" s="5">
        <v>91</v>
      </c>
      <c r="AB177" s="41">
        <v>2024</v>
      </c>
      <c r="AC177" s="110"/>
    </row>
    <row r="178" spans="1:31" ht="46.9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5" t="s">
        <v>232</v>
      </c>
      <c r="S178" s="152" t="s">
        <v>233</v>
      </c>
      <c r="T178" s="4">
        <v>0</v>
      </c>
      <c r="U178" s="4">
        <v>0</v>
      </c>
      <c r="V178" s="4">
        <v>0</v>
      </c>
      <c r="W178" s="4">
        <f>1.1*4*100%</f>
        <v>4.4000000000000004</v>
      </c>
      <c r="X178" s="4">
        <v>23.7</v>
      </c>
      <c r="Y178" s="4">
        <v>23.7</v>
      </c>
      <c r="Z178" s="4">
        <v>23.7</v>
      </c>
      <c r="AA178" s="5">
        <v>23.7</v>
      </c>
      <c r="AB178" s="41">
        <v>2024</v>
      </c>
      <c r="AC178" s="110"/>
    </row>
    <row r="179" spans="1:31" s="51" customFormat="1" ht="31.5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40" t="s">
        <v>124</v>
      </c>
      <c r="S179" s="41" t="s">
        <v>9</v>
      </c>
      <c r="T179" s="3">
        <f>27.6/336.9*100</f>
        <v>8.1923419412288521</v>
      </c>
      <c r="U179" s="3">
        <f>11.3/336.9*100</f>
        <v>3.3541110121697839</v>
      </c>
      <c r="V179" s="3">
        <f>2/336.9*100</f>
        <v>0.59364796675571385</v>
      </c>
      <c r="W179" s="3">
        <f>5.6/336.9*100</f>
        <v>1.6622143069159989</v>
      </c>
      <c r="X179" s="3">
        <v>43.1</v>
      </c>
      <c r="Y179" s="3">
        <v>43.1</v>
      </c>
      <c r="Z179" s="3">
        <v>43.1</v>
      </c>
      <c r="AA179" s="6">
        <v>43.1</v>
      </c>
      <c r="AB179" s="41">
        <v>2024</v>
      </c>
      <c r="AC179" s="110"/>
      <c r="AD179" s="50"/>
    </row>
    <row r="180" spans="1:31" s="51" customFormat="1" ht="50.45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151" t="s">
        <v>125</v>
      </c>
      <c r="S180" s="55" t="s">
        <v>41</v>
      </c>
      <c r="T180" s="56">
        <v>0</v>
      </c>
      <c r="U180" s="56">
        <v>0</v>
      </c>
      <c r="V180" s="56">
        <v>0</v>
      </c>
      <c r="W180" s="56">
        <v>1</v>
      </c>
      <c r="X180" s="56">
        <v>1</v>
      </c>
      <c r="Y180" s="56">
        <v>0</v>
      </c>
      <c r="Z180" s="56">
        <v>1</v>
      </c>
      <c r="AA180" s="57">
        <v>1</v>
      </c>
      <c r="AB180" s="58">
        <v>2024</v>
      </c>
      <c r="AC180" s="110"/>
      <c r="AD180" s="50"/>
    </row>
    <row r="181" spans="1:31" s="51" customFormat="1" ht="31.5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40" t="s">
        <v>72</v>
      </c>
      <c r="S181" s="41" t="s">
        <v>38</v>
      </c>
      <c r="T181" s="44">
        <v>0</v>
      </c>
      <c r="U181" s="44">
        <v>0</v>
      </c>
      <c r="V181" s="44">
        <f t="shared" ref="V181:Z181" si="63">V449</f>
        <v>0</v>
      </c>
      <c r="W181" s="44">
        <v>1</v>
      </c>
      <c r="X181" s="44">
        <v>2</v>
      </c>
      <c r="Y181" s="44">
        <f t="shared" si="63"/>
        <v>0</v>
      </c>
      <c r="Z181" s="44">
        <f t="shared" si="63"/>
        <v>2</v>
      </c>
      <c r="AA181" s="49">
        <f>SUM(T181:Z181)</f>
        <v>5</v>
      </c>
      <c r="AB181" s="41">
        <v>2024</v>
      </c>
      <c r="AC181" s="116"/>
      <c r="AD181" s="112"/>
      <c r="AE181" s="112"/>
    </row>
    <row r="182" spans="1:31" s="51" customFormat="1" ht="31.5" x14ac:dyDescent="0.25">
      <c r="A182" s="54"/>
      <c r="B182" s="54"/>
      <c r="C182" s="54"/>
      <c r="D182" s="54" t="s">
        <v>18</v>
      </c>
      <c r="E182" s="54" t="s">
        <v>21</v>
      </c>
      <c r="F182" s="54" t="s">
        <v>18</v>
      </c>
      <c r="G182" s="54" t="s">
        <v>22</v>
      </c>
      <c r="H182" s="54" t="s">
        <v>19</v>
      </c>
      <c r="I182" s="54" t="s">
        <v>24</v>
      </c>
      <c r="J182" s="54" t="s">
        <v>18</v>
      </c>
      <c r="K182" s="54" t="s">
        <v>18</v>
      </c>
      <c r="L182" s="54" t="s">
        <v>20</v>
      </c>
      <c r="M182" s="54" t="s">
        <v>43</v>
      </c>
      <c r="N182" s="54" t="s">
        <v>43</v>
      </c>
      <c r="O182" s="54" t="s">
        <v>43</v>
      </c>
      <c r="P182" s="54" t="s">
        <v>43</v>
      </c>
      <c r="Q182" s="54" t="s">
        <v>43</v>
      </c>
      <c r="R182" s="151" t="s">
        <v>236</v>
      </c>
      <c r="S182" s="58" t="s">
        <v>0</v>
      </c>
      <c r="T182" s="59">
        <f t="shared" ref="T182:Y182" si="64">T184+T186+T188+T190</f>
        <v>1307</v>
      </c>
      <c r="U182" s="59">
        <f t="shared" si="64"/>
        <v>0</v>
      </c>
      <c r="V182" s="59">
        <f t="shared" si="64"/>
        <v>0</v>
      </c>
      <c r="W182" s="59">
        <f t="shared" si="64"/>
        <v>0</v>
      </c>
      <c r="X182" s="59">
        <f t="shared" si="64"/>
        <v>0</v>
      </c>
      <c r="Y182" s="59">
        <f t="shared" si="64"/>
        <v>0</v>
      </c>
      <c r="Z182" s="59">
        <f t="shared" ref="Z182" si="65">Z184+Z186+Z188+Z190</f>
        <v>0</v>
      </c>
      <c r="AA182" s="59">
        <f>SUM(T182:Y182)</f>
        <v>1307</v>
      </c>
      <c r="AB182" s="58">
        <v>2018</v>
      </c>
      <c r="AC182" s="110"/>
      <c r="AD182" s="112"/>
      <c r="AE182" s="112"/>
    </row>
    <row r="183" spans="1:31" s="51" customFormat="1" ht="47.25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78" t="s">
        <v>249</v>
      </c>
      <c r="S183" s="52" t="s">
        <v>38</v>
      </c>
      <c r="T183" s="44">
        <f>T185+T187+T189+T191</f>
        <v>39</v>
      </c>
      <c r="U183" s="44">
        <f t="shared" ref="U183:Y183" si="66">U185+U187+U189+U191</f>
        <v>0</v>
      </c>
      <c r="V183" s="44">
        <f t="shared" si="66"/>
        <v>0</v>
      </c>
      <c r="W183" s="44">
        <f t="shared" si="66"/>
        <v>0</v>
      </c>
      <c r="X183" s="44">
        <f t="shared" si="66"/>
        <v>0</v>
      </c>
      <c r="Y183" s="44">
        <f t="shared" si="66"/>
        <v>0</v>
      </c>
      <c r="Z183" s="44">
        <f t="shared" ref="Z183" si="67">Z185+Z187+Z189+Z191</f>
        <v>0</v>
      </c>
      <c r="AA183" s="49">
        <f>T183</f>
        <v>39</v>
      </c>
      <c r="AB183" s="41">
        <v>2018</v>
      </c>
      <c r="AC183" s="110"/>
      <c r="AD183" s="112"/>
      <c r="AE183" s="112"/>
    </row>
    <row r="184" spans="1:31" s="51" customFormat="1" ht="30" customHeight="1" x14ac:dyDescent="0.25">
      <c r="A184" s="54" t="s">
        <v>18</v>
      </c>
      <c r="B184" s="54" t="s">
        <v>18</v>
      </c>
      <c r="C184" s="54" t="s">
        <v>22</v>
      </c>
      <c r="D184" s="54" t="s">
        <v>18</v>
      </c>
      <c r="E184" s="54" t="s">
        <v>21</v>
      </c>
      <c r="F184" s="54" t="s">
        <v>18</v>
      </c>
      <c r="G184" s="54" t="s">
        <v>22</v>
      </c>
      <c r="H184" s="54" t="s">
        <v>19</v>
      </c>
      <c r="I184" s="54" t="s">
        <v>24</v>
      </c>
      <c r="J184" s="54" t="s">
        <v>18</v>
      </c>
      <c r="K184" s="54" t="s">
        <v>18</v>
      </c>
      <c r="L184" s="54" t="s">
        <v>20</v>
      </c>
      <c r="M184" s="54" t="s">
        <v>43</v>
      </c>
      <c r="N184" s="54" t="s">
        <v>43</v>
      </c>
      <c r="O184" s="54" t="s">
        <v>43</v>
      </c>
      <c r="P184" s="54" t="s">
        <v>43</v>
      </c>
      <c r="Q184" s="54" t="s">
        <v>43</v>
      </c>
      <c r="R184" s="151" t="s">
        <v>236</v>
      </c>
      <c r="S184" s="55" t="s">
        <v>0</v>
      </c>
      <c r="T184" s="1">
        <v>474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59">
        <f>SUM(T184:Y184)</f>
        <v>474</v>
      </c>
      <c r="AB184" s="58">
        <v>2018</v>
      </c>
      <c r="AC184" s="120"/>
      <c r="AD184" s="113"/>
      <c r="AE184" s="113"/>
    </row>
    <row r="185" spans="1:31" s="51" customFormat="1" ht="63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40" t="s">
        <v>250</v>
      </c>
      <c r="S185" s="52" t="s">
        <v>38</v>
      </c>
      <c r="T185" s="44">
        <v>15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9">
        <f>T185+U185+V185+W185+X185</f>
        <v>15</v>
      </c>
      <c r="AB185" s="41">
        <v>2018</v>
      </c>
      <c r="AC185" s="110"/>
      <c r="AD185" s="50"/>
    </row>
    <row r="186" spans="1:31" s="135" customFormat="1" ht="31.5" x14ac:dyDescent="0.25">
      <c r="A186" s="54" t="s">
        <v>18</v>
      </c>
      <c r="B186" s="54" t="s">
        <v>18</v>
      </c>
      <c r="C186" s="54" t="s">
        <v>24</v>
      </c>
      <c r="D186" s="54" t="s">
        <v>18</v>
      </c>
      <c r="E186" s="54" t="s">
        <v>21</v>
      </c>
      <c r="F186" s="54" t="s">
        <v>18</v>
      </c>
      <c r="G186" s="54" t="s">
        <v>22</v>
      </c>
      <c r="H186" s="54" t="s">
        <v>19</v>
      </c>
      <c r="I186" s="54" t="s">
        <v>24</v>
      </c>
      <c r="J186" s="54" t="s">
        <v>18</v>
      </c>
      <c r="K186" s="54" t="s">
        <v>18</v>
      </c>
      <c r="L186" s="54" t="s">
        <v>20</v>
      </c>
      <c r="M186" s="54" t="s">
        <v>43</v>
      </c>
      <c r="N186" s="54" t="s">
        <v>43</v>
      </c>
      <c r="O186" s="54" t="s">
        <v>43</v>
      </c>
      <c r="P186" s="54" t="s">
        <v>43</v>
      </c>
      <c r="Q186" s="54" t="s">
        <v>43</v>
      </c>
      <c r="R186" s="151" t="s">
        <v>236</v>
      </c>
      <c r="S186" s="55" t="s">
        <v>0</v>
      </c>
      <c r="T186" s="1">
        <f>0+126+400-100</f>
        <v>426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59">
        <f t="shared" ref="AA186:AA191" si="68">SUM(T186:Y186)</f>
        <v>426</v>
      </c>
      <c r="AB186" s="58">
        <v>2018</v>
      </c>
      <c r="AC186" s="133"/>
      <c r="AD186" s="134"/>
      <c r="AE186" s="134"/>
    </row>
    <row r="187" spans="1:31" s="51" customFormat="1" ht="63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40" t="s">
        <v>251</v>
      </c>
      <c r="S187" s="52" t="s">
        <v>38</v>
      </c>
      <c r="T187" s="44">
        <v>4</v>
      </c>
      <c r="U187" s="44">
        <v>0</v>
      </c>
      <c r="V187" s="44">
        <v>0</v>
      </c>
      <c r="W187" s="44">
        <v>0</v>
      </c>
      <c r="X187" s="44">
        <v>0</v>
      </c>
      <c r="Y187" s="44">
        <v>0</v>
      </c>
      <c r="Z187" s="44">
        <v>0</v>
      </c>
      <c r="AA187" s="49">
        <f t="shared" si="68"/>
        <v>4</v>
      </c>
      <c r="AB187" s="41">
        <v>2018</v>
      </c>
      <c r="AC187" s="111"/>
      <c r="AD187" s="112"/>
    </row>
    <row r="188" spans="1:31" s="51" customFormat="1" ht="31.5" x14ac:dyDescent="0.25">
      <c r="A188" s="54" t="s">
        <v>18</v>
      </c>
      <c r="B188" s="54" t="s">
        <v>18</v>
      </c>
      <c r="C188" s="54" t="s">
        <v>21</v>
      </c>
      <c r="D188" s="54" t="s">
        <v>18</v>
      </c>
      <c r="E188" s="54" t="s">
        <v>21</v>
      </c>
      <c r="F188" s="54" t="s">
        <v>18</v>
      </c>
      <c r="G188" s="54" t="s">
        <v>22</v>
      </c>
      <c r="H188" s="54" t="s">
        <v>19</v>
      </c>
      <c r="I188" s="54" t="s">
        <v>24</v>
      </c>
      <c r="J188" s="54" t="s">
        <v>18</v>
      </c>
      <c r="K188" s="54" t="s">
        <v>18</v>
      </c>
      <c r="L188" s="54" t="s">
        <v>20</v>
      </c>
      <c r="M188" s="54" t="s">
        <v>43</v>
      </c>
      <c r="N188" s="54" t="s">
        <v>43</v>
      </c>
      <c r="O188" s="54" t="s">
        <v>43</v>
      </c>
      <c r="P188" s="54" t="s">
        <v>43</v>
      </c>
      <c r="Q188" s="54" t="s">
        <v>43</v>
      </c>
      <c r="R188" s="151" t="s">
        <v>236</v>
      </c>
      <c r="S188" s="55" t="s">
        <v>0</v>
      </c>
      <c r="T188" s="1">
        <v>250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59">
        <f t="shared" si="68"/>
        <v>250</v>
      </c>
      <c r="AB188" s="58">
        <v>2018</v>
      </c>
      <c r="AC188" s="33"/>
      <c r="AD188" s="112"/>
      <c r="AE188" s="112"/>
    </row>
    <row r="189" spans="1:31" s="51" customFormat="1" ht="63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40" t="s">
        <v>252</v>
      </c>
      <c r="S189" s="52" t="s">
        <v>38</v>
      </c>
      <c r="T189" s="44">
        <v>16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9">
        <f t="shared" si="68"/>
        <v>16</v>
      </c>
      <c r="AB189" s="41">
        <v>2018</v>
      </c>
      <c r="AC189" s="110"/>
      <c r="AD189" s="50"/>
    </row>
    <row r="190" spans="1:31" s="51" customFormat="1" ht="31.5" x14ac:dyDescent="0.25">
      <c r="A190" s="54" t="s">
        <v>18</v>
      </c>
      <c r="B190" s="54" t="s">
        <v>18</v>
      </c>
      <c r="C190" s="54" t="s">
        <v>25</v>
      </c>
      <c r="D190" s="54" t="s">
        <v>18</v>
      </c>
      <c r="E190" s="54" t="s">
        <v>21</v>
      </c>
      <c r="F190" s="54" t="s">
        <v>18</v>
      </c>
      <c r="G190" s="54" t="s">
        <v>22</v>
      </c>
      <c r="H190" s="54" t="s">
        <v>19</v>
      </c>
      <c r="I190" s="54" t="s">
        <v>24</v>
      </c>
      <c r="J190" s="54" t="s">
        <v>18</v>
      </c>
      <c r="K190" s="54" t="s">
        <v>18</v>
      </c>
      <c r="L190" s="54" t="s">
        <v>20</v>
      </c>
      <c r="M190" s="54" t="s">
        <v>43</v>
      </c>
      <c r="N190" s="54" t="s">
        <v>43</v>
      </c>
      <c r="O190" s="54" t="s">
        <v>43</v>
      </c>
      <c r="P190" s="54" t="s">
        <v>43</v>
      </c>
      <c r="Q190" s="54" t="s">
        <v>43</v>
      </c>
      <c r="R190" s="151" t="s">
        <v>236</v>
      </c>
      <c r="S190" s="55" t="s">
        <v>0</v>
      </c>
      <c r="T190" s="1">
        <f>480-430+100+55-48</f>
        <v>157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59">
        <f t="shared" si="68"/>
        <v>157</v>
      </c>
      <c r="AB190" s="58">
        <v>2018</v>
      </c>
      <c r="AC190" s="33"/>
      <c r="AD190" s="112"/>
      <c r="AE190" s="112"/>
    </row>
    <row r="191" spans="1:31" s="51" customFormat="1" ht="63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40" t="s">
        <v>253</v>
      </c>
      <c r="S191" s="52" t="s">
        <v>38</v>
      </c>
      <c r="T191" s="44">
        <v>4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  <c r="Z191" s="44">
        <v>0</v>
      </c>
      <c r="AA191" s="49">
        <f t="shared" si="68"/>
        <v>4</v>
      </c>
      <c r="AB191" s="41">
        <v>2018</v>
      </c>
      <c r="AC191" s="110"/>
      <c r="AD191" s="50"/>
    </row>
    <row r="192" spans="1:31" s="51" customFormat="1" ht="47.25" x14ac:dyDescent="0.2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151" t="s">
        <v>128</v>
      </c>
      <c r="S192" s="55" t="s">
        <v>41</v>
      </c>
      <c r="T192" s="56">
        <v>0</v>
      </c>
      <c r="U192" s="56">
        <v>0</v>
      </c>
      <c r="V192" s="56">
        <v>0</v>
      </c>
      <c r="W192" s="56">
        <v>0</v>
      </c>
      <c r="X192" s="56">
        <v>1</v>
      </c>
      <c r="Y192" s="56">
        <v>0</v>
      </c>
      <c r="Z192" s="56">
        <v>1</v>
      </c>
      <c r="AA192" s="57">
        <v>1</v>
      </c>
      <c r="AB192" s="58">
        <v>2024</v>
      </c>
      <c r="AC192" s="110"/>
      <c r="AD192" s="50"/>
    </row>
    <row r="193" spans="1:31" ht="31.15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40" t="s">
        <v>77</v>
      </c>
      <c r="S193" s="41" t="s">
        <v>38</v>
      </c>
      <c r="T193" s="2">
        <v>0</v>
      </c>
      <c r="U193" s="2">
        <v>0</v>
      </c>
      <c r="V193" s="2">
        <v>0</v>
      </c>
      <c r="W193" s="44">
        <v>0</v>
      </c>
      <c r="X193" s="2">
        <v>1</v>
      </c>
      <c r="Y193" s="2">
        <v>0</v>
      </c>
      <c r="Z193" s="2">
        <v>2</v>
      </c>
      <c r="AA193" s="49">
        <f>SUM(T193:Z193)</f>
        <v>3</v>
      </c>
      <c r="AB193" s="41">
        <v>2024</v>
      </c>
      <c r="AD193" s="103"/>
      <c r="AE193" s="103"/>
    </row>
    <row r="194" spans="1:31" ht="31.9" customHeight="1" x14ac:dyDescent="0.2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151" t="s">
        <v>129</v>
      </c>
      <c r="S194" s="55" t="s">
        <v>41</v>
      </c>
      <c r="T194" s="56">
        <v>0</v>
      </c>
      <c r="U194" s="56">
        <v>0</v>
      </c>
      <c r="V194" s="56">
        <v>0</v>
      </c>
      <c r="W194" s="56">
        <v>1</v>
      </c>
      <c r="X194" s="56">
        <v>1</v>
      </c>
      <c r="Y194" s="56">
        <v>0</v>
      </c>
      <c r="Z194" s="56">
        <v>1</v>
      </c>
      <c r="AA194" s="57">
        <v>1</v>
      </c>
      <c r="AB194" s="58">
        <v>2024</v>
      </c>
      <c r="AD194" s="103"/>
      <c r="AE194" s="103"/>
    </row>
    <row r="195" spans="1:31" s="76" customFormat="1" ht="47.25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40" t="s">
        <v>130</v>
      </c>
      <c r="S195" s="62" t="s">
        <v>38</v>
      </c>
      <c r="T195" s="2">
        <v>0</v>
      </c>
      <c r="U195" s="2">
        <v>0</v>
      </c>
      <c r="V195" s="2">
        <v>0</v>
      </c>
      <c r="W195" s="2">
        <v>2</v>
      </c>
      <c r="X195" s="2">
        <v>1</v>
      </c>
      <c r="Y195" s="2">
        <v>0</v>
      </c>
      <c r="Z195" s="2">
        <v>2</v>
      </c>
      <c r="AA195" s="45">
        <f>SUM(T195:Z195)</f>
        <v>5</v>
      </c>
      <c r="AB195" s="41">
        <v>2024</v>
      </c>
      <c r="AC195" s="102"/>
    </row>
    <row r="196" spans="1:31" s="76" customFormat="1" ht="63" customHeight="1" x14ac:dyDescent="0.25">
      <c r="A196" s="54"/>
      <c r="B196" s="54"/>
      <c r="C196" s="54"/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18</v>
      </c>
      <c r="N196" s="54" t="s">
        <v>18</v>
      </c>
      <c r="O196" s="54" t="s">
        <v>18</v>
      </c>
      <c r="P196" s="54" t="s">
        <v>18</v>
      </c>
      <c r="Q196" s="54" t="s">
        <v>18</v>
      </c>
      <c r="R196" s="164" t="s">
        <v>131</v>
      </c>
      <c r="S196" s="58" t="s">
        <v>0</v>
      </c>
      <c r="T196" s="59">
        <f t="shared" ref="T196:Z196" si="69">T203+T211+T219+T227+T235</f>
        <v>123487.5</v>
      </c>
      <c r="U196" s="59">
        <f t="shared" si="69"/>
        <v>86341.199999999983</v>
      </c>
      <c r="V196" s="59">
        <f t="shared" si="69"/>
        <v>569.79999999999995</v>
      </c>
      <c r="W196" s="59">
        <f t="shared" si="69"/>
        <v>112.2</v>
      </c>
      <c r="X196" s="59">
        <f>X203+X211+X219+X227+X235</f>
        <v>34267.1</v>
      </c>
      <c r="Y196" s="59">
        <f t="shared" si="69"/>
        <v>0</v>
      </c>
      <c r="Z196" s="59">
        <f t="shared" si="69"/>
        <v>0</v>
      </c>
      <c r="AA196" s="59">
        <f>SUM(T196:Z196)</f>
        <v>244777.8</v>
      </c>
      <c r="AB196" s="58">
        <v>2022</v>
      </c>
      <c r="AC196" s="107"/>
    </row>
    <row r="197" spans="1:31" s="76" customFormat="1" ht="19.899999999999999" hidden="1" customHeight="1" x14ac:dyDescent="0.25">
      <c r="A197" s="54"/>
      <c r="B197" s="54"/>
      <c r="C197" s="54"/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37</v>
      </c>
      <c r="N197" s="54" t="s">
        <v>18</v>
      </c>
      <c r="O197" s="54" t="s">
        <v>20</v>
      </c>
      <c r="P197" s="54" t="s">
        <v>19</v>
      </c>
      <c r="Q197" s="54" t="s">
        <v>39</v>
      </c>
      <c r="R197" s="164"/>
      <c r="S197" s="55" t="s">
        <v>0</v>
      </c>
      <c r="T197" s="1">
        <f t="shared" ref="T197:Z197" si="70">T205+T213+T221+T229</f>
        <v>0</v>
      </c>
      <c r="U197" s="1">
        <f t="shared" si="70"/>
        <v>18179.999999999996</v>
      </c>
      <c r="V197" s="1">
        <f t="shared" si="70"/>
        <v>0</v>
      </c>
      <c r="W197" s="1">
        <f t="shared" si="70"/>
        <v>0</v>
      </c>
      <c r="X197" s="1">
        <f t="shared" si="70"/>
        <v>6146.5000000000009</v>
      </c>
      <c r="Y197" s="1">
        <f t="shared" si="70"/>
        <v>0</v>
      </c>
      <c r="Z197" s="1">
        <f t="shared" si="70"/>
        <v>0</v>
      </c>
      <c r="AA197" s="59">
        <f>T197+U197+V197+W197+X197+Y197</f>
        <v>24326.499999999996</v>
      </c>
      <c r="AB197" s="58">
        <v>2023</v>
      </c>
      <c r="AC197" s="102"/>
    </row>
    <row r="198" spans="1:31" s="76" customFormat="1" ht="19.899999999999999" hidden="1" customHeight="1" x14ac:dyDescent="0.25">
      <c r="A198" s="54"/>
      <c r="B198" s="54"/>
      <c r="C198" s="54"/>
      <c r="D198" s="54" t="s">
        <v>18</v>
      </c>
      <c r="E198" s="54" t="s">
        <v>24</v>
      </c>
      <c r="F198" s="54" t="s">
        <v>18</v>
      </c>
      <c r="G198" s="54" t="s">
        <v>43</v>
      </c>
      <c r="H198" s="54" t="s">
        <v>19</v>
      </c>
      <c r="I198" s="54" t="s">
        <v>24</v>
      </c>
      <c r="J198" s="54" t="s">
        <v>18</v>
      </c>
      <c r="K198" s="54" t="s">
        <v>18</v>
      </c>
      <c r="L198" s="54" t="s">
        <v>20</v>
      </c>
      <c r="M198" s="54" t="s">
        <v>18</v>
      </c>
      <c r="N198" s="54" t="s">
        <v>18</v>
      </c>
      <c r="O198" s="54" t="s">
        <v>18</v>
      </c>
      <c r="P198" s="54" t="s">
        <v>18</v>
      </c>
      <c r="Q198" s="54" t="s">
        <v>18</v>
      </c>
      <c r="R198" s="164"/>
      <c r="S198" s="55" t="s">
        <v>0</v>
      </c>
      <c r="T198" s="1">
        <f t="shared" ref="T198:Z198" si="71">T207+T215+T223+T231</f>
        <v>0</v>
      </c>
      <c r="U198" s="1">
        <f t="shared" si="71"/>
        <v>896.59999999999991</v>
      </c>
      <c r="V198" s="1">
        <f t="shared" si="71"/>
        <v>569.79999999999995</v>
      </c>
      <c r="W198" s="1">
        <f t="shared" si="71"/>
        <v>112.2</v>
      </c>
      <c r="X198" s="1">
        <f t="shared" si="71"/>
        <v>2911.1</v>
      </c>
      <c r="Y198" s="1">
        <f t="shared" si="71"/>
        <v>0</v>
      </c>
      <c r="Z198" s="1">
        <f t="shared" si="71"/>
        <v>0</v>
      </c>
      <c r="AA198" s="59">
        <f>T198+U198+V198+W198+X198+Y198</f>
        <v>4489.7</v>
      </c>
      <c r="AB198" s="58">
        <v>2023</v>
      </c>
      <c r="AC198" s="102"/>
    </row>
    <row r="199" spans="1:31" s="76" customFormat="1" ht="63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78" t="s">
        <v>177</v>
      </c>
      <c r="S199" s="62" t="s">
        <v>52</v>
      </c>
      <c r="T199" s="3">
        <f>T239</f>
        <v>58.6</v>
      </c>
      <c r="U199" s="3">
        <f t="shared" ref="U199:Z199" si="72">U239+U232+U224+U216+U208</f>
        <v>38.200000000000003</v>
      </c>
      <c r="V199" s="3">
        <f t="shared" si="72"/>
        <v>0</v>
      </c>
      <c r="W199" s="3">
        <f t="shared" si="72"/>
        <v>0</v>
      </c>
      <c r="X199" s="3">
        <f>X239+X232+X224+X216+X208</f>
        <v>9.3000000000000007</v>
      </c>
      <c r="Y199" s="3">
        <f t="shared" si="72"/>
        <v>0</v>
      </c>
      <c r="Z199" s="3">
        <f t="shared" si="72"/>
        <v>0</v>
      </c>
      <c r="AA199" s="6">
        <f>SUM(T199:Z199)</f>
        <v>106.10000000000001</v>
      </c>
      <c r="AB199" s="41">
        <v>2022</v>
      </c>
      <c r="AC199" s="102"/>
    </row>
    <row r="200" spans="1:31" s="76" customFormat="1" ht="31.15" hidden="1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79" t="s">
        <v>51</v>
      </c>
      <c r="S200" s="62"/>
      <c r="T200" s="3">
        <f>T240</f>
        <v>28</v>
      </c>
      <c r="U200" s="3"/>
      <c r="V200" s="3"/>
      <c r="W200" s="3"/>
      <c r="X200" s="3"/>
      <c r="Y200" s="3"/>
      <c r="Z200" s="3"/>
      <c r="AA200" s="6"/>
      <c r="AB200" s="41">
        <v>2020</v>
      </c>
      <c r="AC200" s="102"/>
    </row>
    <row r="201" spans="1:31" s="76" customFormat="1" ht="31.5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80" t="s">
        <v>178</v>
      </c>
      <c r="S201" s="62" t="s">
        <v>38</v>
      </c>
      <c r="T201" s="44">
        <f>T240</f>
        <v>28</v>
      </c>
      <c r="U201" s="44">
        <f>U209+U217+U225+U233+U240</f>
        <v>20</v>
      </c>
      <c r="V201" s="44">
        <f>V209+V217+V225+V233</f>
        <v>0</v>
      </c>
      <c r="W201" s="44">
        <f>W209+W217+W225+W233</f>
        <v>0</v>
      </c>
      <c r="X201" s="44">
        <f>X209+X217+X225+X233</f>
        <v>7</v>
      </c>
      <c r="Y201" s="44">
        <f>Y209+Y217+Y225+Y233</f>
        <v>0</v>
      </c>
      <c r="Z201" s="44">
        <f>Z209+Z217+Z225+Z233</f>
        <v>0</v>
      </c>
      <c r="AA201" s="49">
        <f>SUM(T201:Z201)</f>
        <v>55</v>
      </c>
      <c r="AB201" s="41">
        <v>2022</v>
      </c>
      <c r="AC201" s="102"/>
      <c r="AD201" s="81"/>
    </row>
    <row r="202" spans="1:31" s="132" customFormat="1" ht="47.25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78" t="s">
        <v>317</v>
      </c>
      <c r="S202" s="52" t="s">
        <v>38</v>
      </c>
      <c r="T202" s="44">
        <v>0</v>
      </c>
      <c r="U202" s="44">
        <f>U210+U218+U226+U234</f>
        <v>20</v>
      </c>
      <c r="V202" s="44">
        <f>V210+V218+V226+V234</f>
        <v>14</v>
      </c>
      <c r="W202" s="44">
        <f>W210+W218+W226+W234</f>
        <v>2</v>
      </c>
      <c r="X202" s="44">
        <f>X210+X218+X226+X234</f>
        <v>6</v>
      </c>
      <c r="Y202" s="44">
        <v>0</v>
      </c>
      <c r="Z202" s="44">
        <v>0</v>
      </c>
      <c r="AA202" s="49">
        <f>SUM(T202:Z202)</f>
        <v>42</v>
      </c>
      <c r="AB202" s="41">
        <v>2022</v>
      </c>
      <c r="AC202" s="110"/>
      <c r="AD202" s="131"/>
    </row>
    <row r="203" spans="1:31" s="76" customFormat="1" x14ac:dyDescent="0.25">
      <c r="A203" s="54" t="s">
        <v>18</v>
      </c>
      <c r="B203" s="54" t="s">
        <v>18</v>
      </c>
      <c r="C203" s="54" t="s">
        <v>22</v>
      </c>
      <c r="D203" s="54" t="s">
        <v>18</v>
      </c>
      <c r="E203" s="54" t="s">
        <v>24</v>
      </c>
      <c r="F203" s="54" t="s">
        <v>18</v>
      </c>
      <c r="G203" s="54" t="s">
        <v>43</v>
      </c>
      <c r="H203" s="54" t="s">
        <v>19</v>
      </c>
      <c r="I203" s="54" t="s">
        <v>24</v>
      </c>
      <c r="J203" s="54" t="s">
        <v>18</v>
      </c>
      <c r="K203" s="54" t="s">
        <v>18</v>
      </c>
      <c r="L203" s="54" t="s">
        <v>20</v>
      </c>
      <c r="M203" s="54" t="s">
        <v>18</v>
      </c>
      <c r="N203" s="54" t="s">
        <v>18</v>
      </c>
      <c r="O203" s="54" t="s">
        <v>18</v>
      </c>
      <c r="P203" s="54" t="s">
        <v>18</v>
      </c>
      <c r="Q203" s="54" t="s">
        <v>18</v>
      </c>
      <c r="R203" s="164" t="s">
        <v>131</v>
      </c>
      <c r="S203" s="183" t="s">
        <v>0</v>
      </c>
      <c r="T203" s="59">
        <f>SUM(T205:T207)</f>
        <v>0</v>
      </c>
      <c r="U203" s="59">
        <f>SUM(U204:U207)</f>
        <v>26850.299999999996</v>
      </c>
      <c r="V203" s="59">
        <f t="shared" ref="V203:Z203" si="73">SUM(V204:V207)</f>
        <v>48.800000000000011</v>
      </c>
      <c r="W203" s="59">
        <f t="shared" si="73"/>
        <v>112.2</v>
      </c>
      <c r="X203" s="59">
        <f t="shared" si="73"/>
        <v>9318</v>
      </c>
      <c r="Y203" s="59">
        <f t="shared" si="73"/>
        <v>0</v>
      </c>
      <c r="Z203" s="59">
        <f t="shared" si="73"/>
        <v>0</v>
      </c>
      <c r="AA203" s="59">
        <f>SUM(T203:Z203)</f>
        <v>36329.299999999996</v>
      </c>
      <c r="AB203" s="58">
        <v>2022</v>
      </c>
      <c r="AC203" s="102"/>
      <c r="AD203" s="81"/>
    </row>
    <row r="204" spans="1:31" s="76" customFormat="1" x14ac:dyDescent="0.25">
      <c r="A204" s="54" t="s">
        <v>18</v>
      </c>
      <c r="B204" s="54" t="s">
        <v>18</v>
      </c>
      <c r="C204" s="54" t="s">
        <v>22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19</v>
      </c>
      <c r="N204" s="54" t="s">
        <v>18</v>
      </c>
      <c r="O204" s="54" t="s">
        <v>169</v>
      </c>
      <c r="P204" s="54" t="s">
        <v>21</v>
      </c>
      <c r="Q204" s="54" t="s">
        <v>25</v>
      </c>
      <c r="R204" s="164"/>
      <c r="S204" s="184"/>
      <c r="T204" s="1">
        <v>0</v>
      </c>
      <c r="U204" s="1">
        <f>16800.1+4329.1</f>
        <v>21129.199999999997</v>
      </c>
      <c r="V204" s="1">
        <v>0</v>
      </c>
      <c r="W204" s="1">
        <v>0</v>
      </c>
      <c r="X204" s="1">
        <f>5758.9-57.6</f>
        <v>5701.2999999999993</v>
      </c>
      <c r="Y204" s="1">
        <v>0</v>
      </c>
      <c r="Z204" s="1">
        <v>0</v>
      </c>
      <c r="AA204" s="59">
        <f t="shared" ref="AA204" si="74">SUM(T204:Z204)</f>
        <v>26830.499999999996</v>
      </c>
      <c r="AB204" s="58">
        <v>2022</v>
      </c>
      <c r="AC204" s="102"/>
      <c r="AD204" s="81"/>
    </row>
    <row r="205" spans="1:31" s="76" customFormat="1" x14ac:dyDescent="0.25">
      <c r="A205" s="54" t="s">
        <v>18</v>
      </c>
      <c r="B205" s="54" t="s">
        <v>18</v>
      </c>
      <c r="C205" s="54" t="s">
        <v>22</v>
      </c>
      <c r="D205" s="54" t="s">
        <v>18</v>
      </c>
      <c r="E205" s="54" t="s">
        <v>24</v>
      </c>
      <c r="F205" s="54" t="s">
        <v>18</v>
      </c>
      <c r="G205" s="54" t="s">
        <v>43</v>
      </c>
      <c r="H205" s="54" t="s">
        <v>19</v>
      </c>
      <c r="I205" s="54" t="s">
        <v>24</v>
      </c>
      <c r="J205" s="54" t="s">
        <v>18</v>
      </c>
      <c r="K205" s="54" t="s">
        <v>18</v>
      </c>
      <c r="L205" s="54" t="s">
        <v>20</v>
      </c>
      <c r="M205" s="54" t="s">
        <v>37</v>
      </c>
      <c r="N205" s="54" t="s">
        <v>18</v>
      </c>
      <c r="O205" s="54" t="s">
        <v>169</v>
      </c>
      <c r="P205" s="54" t="s">
        <v>21</v>
      </c>
      <c r="Q205" s="54" t="s">
        <v>25</v>
      </c>
      <c r="R205" s="164"/>
      <c r="S205" s="184"/>
      <c r="T205" s="1">
        <v>0</v>
      </c>
      <c r="U205" s="1">
        <f>4199.9+2224.5-291-681.9</f>
        <v>5451.5</v>
      </c>
      <c r="V205" s="1">
        <f>2529.4-2529.4</f>
        <v>0</v>
      </c>
      <c r="W205" s="1">
        <f>2800-2800</f>
        <v>0</v>
      </c>
      <c r="X205" s="1">
        <f>1439.7-14.3</f>
        <v>1425.4</v>
      </c>
      <c r="Y205" s="1">
        <f t="shared" ref="Y205:Z205" si="75">2800-2800</f>
        <v>0</v>
      </c>
      <c r="Z205" s="1">
        <f t="shared" si="75"/>
        <v>0</v>
      </c>
      <c r="AA205" s="59">
        <f>SUM(T205:Z205)</f>
        <v>6876.9</v>
      </c>
      <c r="AB205" s="58">
        <v>2022</v>
      </c>
      <c r="AC205" s="102"/>
      <c r="AD205" s="81"/>
    </row>
    <row r="206" spans="1:31" s="76" customFormat="1" x14ac:dyDescent="0.25">
      <c r="A206" s="54" t="s">
        <v>18</v>
      </c>
      <c r="B206" s="54" t="s">
        <v>18</v>
      </c>
      <c r="C206" s="54" t="s">
        <v>22</v>
      </c>
      <c r="D206" s="54" t="s">
        <v>18</v>
      </c>
      <c r="E206" s="54" t="s">
        <v>24</v>
      </c>
      <c r="F206" s="54" t="s">
        <v>18</v>
      </c>
      <c r="G206" s="54" t="s">
        <v>43</v>
      </c>
      <c r="H206" s="54" t="s">
        <v>19</v>
      </c>
      <c r="I206" s="54" t="s">
        <v>24</v>
      </c>
      <c r="J206" s="54" t="s">
        <v>18</v>
      </c>
      <c r="K206" s="54" t="s">
        <v>18</v>
      </c>
      <c r="L206" s="54" t="s">
        <v>20</v>
      </c>
      <c r="M206" s="54" t="s">
        <v>18</v>
      </c>
      <c r="N206" s="54" t="s">
        <v>18</v>
      </c>
      <c r="O206" s="54" t="s">
        <v>169</v>
      </c>
      <c r="P206" s="54" t="s">
        <v>21</v>
      </c>
      <c r="Q206" s="54" t="s">
        <v>25</v>
      </c>
      <c r="R206" s="164"/>
      <c r="S206" s="184"/>
      <c r="T206" s="1">
        <v>0</v>
      </c>
      <c r="U206" s="1">
        <v>0</v>
      </c>
      <c r="V206" s="1">
        <v>0</v>
      </c>
      <c r="W206" s="1">
        <v>0</v>
      </c>
      <c r="X206" s="1">
        <f>154.1-24.5</f>
        <v>129.6</v>
      </c>
      <c r="Y206" s="1">
        <v>0</v>
      </c>
      <c r="Z206" s="1">
        <v>0</v>
      </c>
      <c r="AA206" s="59">
        <f>SUM(T206:Z206)</f>
        <v>129.6</v>
      </c>
      <c r="AB206" s="58">
        <v>2022</v>
      </c>
      <c r="AC206" s="102"/>
      <c r="AD206" s="81"/>
    </row>
    <row r="207" spans="1:31" s="76" customFormat="1" x14ac:dyDescent="0.25">
      <c r="A207" s="54" t="s">
        <v>18</v>
      </c>
      <c r="B207" s="54" t="s">
        <v>18</v>
      </c>
      <c r="C207" s="54" t="s">
        <v>22</v>
      </c>
      <c r="D207" s="54" t="s">
        <v>18</v>
      </c>
      <c r="E207" s="54" t="s">
        <v>24</v>
      </c>
      <c r="F207" s="54" t="s">
        <v>18</v>
      </c>
      <c r="G207" s="54" t="s">
        <v>43</v>
      </c>
      <c r="H207" s="54" t="s">
        <v>19</v>
      </c>
      <c r="I207" s="54" t="s">
        <v>24</v>
      </c>
      <c r="J207" s="54" t="s">
        <v>18</v>
      </c>
      <c r="K207" s="54" t="s">
        <v>18</v>
      </c>
      <c r="L207" s="54" t="s">
        <v>20</v>
      </c>
      <c r="M207" s="54" t="s">
        <v>43</v>
      </c>
      <c r="N207" s="54" t="s">
        <v>43</v>
      </c>
      <c r="O207" s="54" t="s">
        <v>43</v>
      </c>
      <c r="P207" s="54" t="s">
        <v>43</v>
      </c>
      <c r="Q207" s="54" t="s">
        <v>43</v>
      </c>
      <c r="R207" s="164"/>
      <c r="S207" s="185"/>
      <c r="T207" s="1">
        <v>0</v>
      </c>
      <c r="U207" s="1">
        <f>164.3-164.3+200+449.4+50.8-371.3-59.3</f>
        <v>269.59999999999991</v>
      </c>
      <c r="V207" s="1">
        <f>270.6-221.8</f>
        <v>48.800000000000011</v>
      </c>
      <c r="W207" s="1">
        <f>0+160-47.8</f>
        <v>112.2</v>
      </c>
      <c r="X207" s="1">
        <f>50+2011.7</f>
        <v>2061.6999999999998</v>
      </c>
      <c r="Y207" s="1">
        <v>0</v>
      </c>
      <c r="Z207" s="1">
        <v>0</v>
      </c>
      <c r="AA207" s="59">
        <f t="shared" ref="AA207" si="76">SUM(T207:Z207)</f>
        <v>2492.2999999999997</v>
      </c>
      <c r="AB207" s="58">
        <v>2022</v>
      </c>
      <c r="AC207" s="102"/>
      <c r="AD207" s="81"/>
    </row>
    <row r="208" spans="1:31" s="76" customFormat="1" ht="63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78" t="s">
        <v>260</v>
      </c>
      <c r="S208" s="62" t="s">
        <v>42</v>
      </c>
      <c r="T208" s="3">
        <v>0</v>
      </c>
      <c r="U208" s="3">
        <v>11.6</v>
      </c>
      <c r="V208" s="3">
        <f>6.8-6.8</f>
        <v>0</v>
      </c>
      <c r="W208" s="3">
        <v>0</v>
      </c>
      <c r="X208" s="3">
        <f>2.2+0.5</f>
        <v>2.7</v>
      </c>
      <c r="Y208" s="3">
        <v>0</v>
      </c>
      <c r="Z208" s="3">
        <v>0</v>
      </c>
      <c r="AA208" s="6">
        <f>SUM(T208:Z208)</f>
        <v>14.3</v>
      </c>
      <c r="AB208" s="41">
        <v>2022</v>
      </c>
      <c r="AC208" s="102"/>
    </row>
    <row r="209" spans="1:30" s="76" customFormat="1" ht="47.25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80" t="s">
        <v>261</v>
      </c>
      <c r="S209" s="62" t="s">
        <v>38</v>
      </c>
      <c r="T209" s="44">
        <v>0</v>
      </c>
      <c r="U209" s="44">
        <v>8</v>
      </c>
      <c r="V209" s="44">
        <f>3-3</f>
        <v>0</v>
      </c>
      <c r="W209" s="44">
        <v>0</v>
      </c>
      <c r="X209" s="44">
        <v>2</v>
      </c>
      <c r="Y209" s="44">
        <v>0</v>
      </c>
      <c r="Z209" s="44">
        <v>0</v>
      </c>
      <c r="AA209" s="49">
        <f>SUM(T209:Z209)</f>
        <v>10</v>
      </c>
      <c r="AB209" s="41">
        <v>2022</v>
      </c>
      <c r="AC209" s="102"/>
      <c r="AD209" s="81"/>
    </row>
    <row r="210" spans="1:30" s="132" customFormat="1" ht="63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78" t="s">
        <v>337</v>
      </c>
      <c r="S210" s="52" t="s">
        <v>38</v>
      </c>
      <c r="T210" s="44">
        <v>0</v>
      </c>
      <c r="U210" s="44">
        <v>8</v>
      </c>
      <c r="V210" s="44">
        <v>5</v>
      </c>
      <c r="W210" s="44">
        <v>2</v>
      </c>
      <c r="X210" s="44">
        <v>1</v>
      </c>
      <c r="Y210" s="44">
        <v>0</v>
      </c>
      <c r="Z210" s="44">
        <v>0</v>
      </c>
      <c r="AA210" s="49">
        <f>SUM(T210:Z210)</f>
        <v>16</v>
      </c>
      <c r="AB210" s="41">
        <v>2022</v>
      </c>
      <c r="AC210" s="110"/>
      <c r="AD210" s="131"/>
    </row>
    <row r="211" spans="1:30" s="76" customFormat="1" x14ac:dyDescent="0.25">
      <c r="A211" s="54" t="s">
        <v>18</v>
      </c>
      <c r="B211" s="54" t="s">
        <v>18</v>
      </c>
      <c r="C211" s="54" t="s">
        <v>24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18</v>
      </c>
      <c r="N211" s="54" t="s">
        <v>18</v>
      </c>
      <c r="O211" s="54" t="s">
        <v>18</v>
      </c>
      <c r="P211" s="54" t="s">
        <v>18</v>
      </c>
      <c r="Q211" s="54" t="s">
        <v>18</v>
      </c>
      <c r="R211" s="164" t="s">
        <v>131</v>
      </c>
      <c r="S211" s="183" t="s">
        <v>0</v>
      </c>
      <c r="T211" s="59">
        <f>T213+T215</f>
        <v>0</v>
      </c>
      <c r="U211" s="59">
        <f>SUM(U212:U215)</f>
        <v>22882.399999999998</v>
      </c>
      <c r="V211" s="59">
        <f t="shared" ref="V211:X211" si="77">SUM(V212:V215)</f>
        <v>0</v>
      </c>
      <c r="W211" s="59">
        <f t="shared" si="77"/>
        <v>0</v>
      </c>
      <c r="X211" s="59">
        <f t="shared" si="77"/>
        <v>14726.6</v>
      </c>
      <c r="Y211" s="59">
        <f t="shared" ref="Y211:Z211" si="78">SUM(Y212:Y215)</f>
        <v>0</v>
      </c>
      <c r="Z211" s="59">
        <f t="shared" si="78"/>
        <v>0</v>
      </c>
      <c r="AA211" s="59">
        <f>SUM(T211:Z211)</f>
        <v>37609</v>
      </c>
      <c r="AB211" s="58">
        <v>2022</v>
      </c>
      <c r="AC211" s="102"/>
    </row>
    <row r="212" spans="1:30" s="76" customFormat="1" x14ac:dyDescent="0.25">
      <c r="A212" s="54" t="s">
        <v>18</v>
      </c>
      <c r="B212" s="54" t="s">
        <v>18</v>
      </c>
      <c r="C212" s="54" t="s">
        <v>24</v>
      </c>
      <c r="D212" s="54" t="s">
        <v>18</v>
      </c>
      <c r="E212" s="54" t="s">
        <v>24</v>
      </c>
      <c r="F212" s="54" t="s">
        <v>18</v>
      </c>
      <c r="G212" s="54" t="s">
        <v>43</v>
      </c>
      <c r="H212" s="54" t="s">
        <v>19</v>
      </c>
      <c r="I212" s="54" t="s">
        <v>24</v>
      </c>
      <c r="J212" s="54" t="s">
        <v>18</v>
      </c>
      <c r="K212" s="54" t="s">
        <v>18</v>
      </c>
      <c r="L212" s="54" t="s">
        <v>20</v>
      </c>
      <c r="M212" s="54" t="s">
        <v>19</v>
      </c>
      <c r="N212" s="54" t="s">
        <v>18</v>
      </c>
      <c r="O212" s="54" t="s">
        <v>169</v>
      </c>
      <c r="P212" s="54" t="s">
        <v>21</v>
      </c>
      <c r="Q212" s="54" t="s">
        <v>25</v>
      </c>
      <c r="R212" s="164"/>
      <c r="S212" s="184"/>
      <c r="T212" s="1">
        <f>T215+T216</f>
        <v>0</v>
      </c>
      <c r="U212" s="1">
        <f>14400.1+2862.7</f>
        <v>17262.8</v>
      </c>
      <c r="V212" s="1">
        <v>0</v>
      </c>
      <c r="W212" s="1">
        <v>0</v>
      </c>
      <c r="X212" s="1">
        <v>11517.2</v>
      </c>
      <c r="Y212" s="1">
        <v>0</v>
      </c>
      <c r="Z212" s="1">
        <v>0</v>
      </c>
      <c r="AA212" s="59">
        <f t="shared" ref="AA212:AA215" si="79">SUM(T212:Z212)</f>
        <v>28780</v>
      </c>
      <c r="AB212" s="58">
        <v>2022</v>
      </c>
      <c r="AC212" s="102"/>
    </row>
    <row r="213" spans="1:30" s="76" customFormat="1" x14ac:dyDescent="0.25">
      <c r="A213" s="54" t="s">
        <v>18</v>
      </c>
      <c r="B213" s="54" t="s">
        <v>18</v>
      </c>
      <c r="C213" s="54" t="s">
        <v>24</v>
      </c>
      <c r="D213" s="54" t="s">
        <v>18</v>
      </c>
      <c r="E213" s="54" t="s">
        <v>24</v>
      </c>
      <c r="F213" s="54" t="s">
        <v>18</v>
      </c>
      <c r="G213" s="54" t="s">
        <v>43</v>
      </c>
      <c r="H213" s="54" t="s">
        <v>19</v>
      </c>
      <c r="I213" s="54" t="s">
        <v>24</v>
      </c>
      <c r="J213" s="54" t="s">
        <v>18</v>
      </c>
      <c r="K213" s="54" t="s">
        <v>18</v>
      </c>
      <c r="L213" s="54" t="s">
        <v>20</v>
      </c>
      <c r="M213" s="54" t="s">
        <v>37</v>
      </c>
      <c r="N213" s="54" t="s">
        <v>18</v>
      </c>
      <c r="O213" s="54" t="s">
        <v>169</v>
      </c>
      <c r="P213" s="54" t="s">
        <v>21</v>
      </c>
      <c r="Q213" s="54" t="s">
        <v>25</v>
      </c>
      <c r="R213" s="164"/>
      <c r="S213" s="184"/>
      <c r="T213" s="1">
        <v>0</v>
      </c>
      <c r="U213" s="1">
        <f>3599.9+2545.7-290-443.1</f>
        <v>5412.5</v>
      </c>
      <c r="V213" s="1">
        <f>1096.5-1096.5</f>
        <v>0</v>
      </c>
      <c r="W213" s="1">
        <f>1500-1500</f>
        <v>0</v>
      </c>
      <c r="X213" s="1">
        <v>2879.8</v>
      </c>
      <c r="Y213" s="1">
        <f>1500-1500</f>
        <v>0</v>
      </c>
      <c r="Z213" s="1">
        <f>1500-1500</f>
        <v>0</v>
      </c>
      <c r="AA213" s="59">
        <f t="shared" si="79"/>
        <v>8292.2999999999993</v>
      </c>
      <c r="AB213" s="58">
        <v>2022</v>
      </c>
      <c r="AC213" s="102"/>
    </row>
    <row r="214" spans="1:30" s="76" customFormat="1" x14ac:dyDescent="0.25">
      <c r="A214" s="54" t="s">
        <v>18</v>
      </c>
      <c r="B214" s="54" t="s">
        <v>18</v>
      </c>
      <c r="C214" s="54" t="s">
        <v>24</v>
      </c>
      <c r="D214" s="54" t="s">
        <v>18</v>
      </c>
      <c r="E214" s="54" t="s">
        <v>24</v>
      </c>
      <c r="F214" s="54" t="s">
        <v>18</v>
      </c>
      <c r="G214" s="54" t="s">
        <v>43</v>
      </c>
      <c r="H214" s="54" t="s">
        <v>19</v>
      </c>
      <c r="I214" s="54" t="s">
        <v>24</v>
      </c>
      <c r="J214" s="54" t="s">
        <v>18</v>
      </c>
      <c r="K214" s="54" t="s">
        <v>18</v>
      </c>
      <c r="L214" s="54" t="s">
        <v>20</v>
      </c>
      <c r="M214" s="54" t="s">
        <v>18</v>
      </c>
      <c r="N214" s="54" t="s">
        <v>18</v>
      </c>
      <c r="O214" s="54" t="s">
        <v>169</v>
      </c>
      <c r="P214" s="54" t="s">
        <v>21</v>
      </c>
      <c r="Q214" s="54" t="s">
        <v>25</v>
      </c>
      <c r="R214" s="164"/>
      <c r="S214" s="184"/>
      <c r="T214" s="1">
        <v>0</v>
      </c>
      <c r="U214" s="1">
        <v>0</v>
      </c>
      <c r="V214" s="1">
        <v>0</v>
      </c>
      <c r="W214" s="1">
        <f>1500-1500</f>
        <v>0</v>
      </c>
      <c r="X214" s="1">
        <v>329.6</v>
      </c>
      <c r="Y214" s="1">
        <f>1500-1500</f>
        <v>0</v>
      </c>
      <c r="Z214" s="1">
        <f>1500-1500</f>
        <v>0</v>
      </c>
      <c r="AA214" s="59">
        <f t="shared" si="79"/>
        <v>329.6</v>
      </c>
      <c r="AB214" s="58">
        <v>2022</v>
      </c>
      <c r="AC214" s="102"/>
    </row>
    <row r="215" spans="1:30" s="76" customFormat="1" x14ac:dyDescent="0.25">
      <c r="A215" s="54" t="s">
        <v>18</v>
      </c>
      <c r="B215" s="54" t="s">
        <v>18</v>
      </c>
      <c r="C215" s="54" t="s">
        <v>24</v>
      </c>
      <c r="D215" s="54" t="s">
        <v>18</v>
      </c>
      <c r="E215" s="54" t="s">
        <v>24</v>
      </c>
      <c r="F215" s="54" t="s">
        <v>18</v>
      </c>
      <c r="G215" s="54" t="s">
        <v>43</v>
      </c>
      <c r="H215" s="54" t="s">
        <v>19</v>
      </c>
      <c r="I215" s="54" t="s">
        <v>24</v>
      </c>
      <c r="J215" s="54" t="s">
        <v>18</v>
      </c>
      <c r="K215" s="54" t="s">
        <v>18</v>
      </c>
      <c r="L215" s="54" t="s">
        <v>20</v>
      </c>
      <c r="M215" s="54" t="s">
        <v>43</v>
      </c>
      <c r="N215" s="54" t="s">
        <v>43</v>
      </c>
      <c r="O215" s="54" t="s">
        <v>43</v>
      </c>
      <c r="P215" s="54" t="s">
        <v>43</v>
      </c>
      <c r="Q215" s="54" t="s">
        <v>43</v>
      </c>
      <c r="R215" s="164"/>
      <c r="S215" s="185"/>
      <c r="T215" s="1">
        <v>0</v>
      </c>
      <c r="U215" s="1">
        <f>145-145+100+385.2+30.4-308.5</f>
        <v>207.10000000000002</v>
      </c>
      <c r="V215" s="1">
        <f>403.5-403.5</f>
        <v>0</v>
      </c>
      <c r="W215" s="1">
        <v>0</v>
      </c>
      <c r="X215" s="1">
        <v>0</v>
      </c>
      <c r="Y215" s="1">
        <v>0</v>
      </c>
      <c r="Z215" s="1">
        <v>0</v>
      </c>
      <c r="AA215" s="59">
        <f t="shared" si="79"/>
        <v>207.10000000000002</v>
      </c>
      <c r="AB215" s="58">
        <v>2019</v>
      </c>
      <c r="AC215" s="102"/>
    </row>
    <row r="216" spans="1:30" s="76" customFormat="1" ht="63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78" t="s">
        <v>262</v>
      </c>
      <c r="S216" s="62" t="s">
        <v>52</v>
      </c>
      <c r="T216" s="3">
        <v>0</v>
      </c>
      <c r="U216" s="3">
        <v>10.6</v>
      </c>
      <c r="V216" s="3">
        <f>3-3</f>
        <v>0</v>
      </c>
      <c r="W216" s="3">
        <v>0</v>
      </c>
      <c r="X216" s="3">
        <v>3.7</v>
      </c>
      <c r="Y216" s="3">
        <v>0</v>
      </c>
      <c r="Z216" s="3">
        <v>0</v>
      </c>
      <c r="AA216" s="6">
        <f>SUM(T216:Z216)</f>
        <v>14.3</v>
      </c>
      <c r="AB216" s="41">
        <v>2022</v>
      </c>
      <c r="AC216" s="102"/>
    </row>
    <row r="217" spans="1:30" s="76" customFormat="1" ht="47.25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80" t="s">
        <v>263</v>
      </c>
      <c r="S217" s="62" t="s">
        <v>38</v>
      </c>
      <c r="T217" s="44">
        <v>0</v>
      </c>
      <c r="U217" s="44">
        <v>4</v>
      </c>
      <c r="V217" s="44">
        <f>2-2</f>
        <v>0</v>
      </c>
      <c r="W217" s="44">
        <v>0</v>
      </c>
      <c r="X217" s="44">
        <v>3</v>
      </c>
      <c r="Y217" s="44">
        <v>0</v>
      </c>
      <c r="Z217" s="44">
        <v>0</v>
      </c>
      <c r="AA217" s="49">
        <f>SUM(T217:Z217)</f>
        <v>7</v>
      </c>
      <c r="AB217" s="41">
        <v>2022</v>
      </c>
      <c r="AC217" s="102"/>
      <c r="AD217" s="81"/>
    </row>
    <row r="218" spans="1:30" s="132" customFormat="1" ht="63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78" t="s">
        <v>270</v>
      </c>
      <c r="S218" s="52" t="s">
        <v>38</v>
      </c>
      <c r="T218" s="44">
        <v>0</v>
      </c>
      <c r="U218" s="44">
        <v>4</v>
      </c>
      <c r="V218" s="44">
        <v>0</v>
      </c>
      <c r="W218" s="44">
        <v>0</v>
      </c>
      <c r="X218" s="44">
        <v>3</v>
      </c>
      <c r="Y218" s="44">
        <v>0</v>
      </c>
      <c r="Z218" s="44">
        <v>0</v>
      </c>
      <c r="AA218" s="49">
        <f>SUM(T218:Z218)</f>
        <v>7</v>
      </c>
      <c r="AB218" s="41">
        <v>2022</v>
      </c>
      <c r="AC218" s="110"/>
      <c r="AD218" s="131"/>
    </row>
    <row r="219" spans="1:30" s="76" customFormat="1" x14ac:dyDescent="0.25">
      <c r="A219" s="54" t="s">
        <v>18</v>
      </c>
      <c r="B219" s="54" t="s">
        <v>18</v>
      </c>
      <c r="C219" s="54" t="s">
        <v>21</v>
      </c>
      <c r="D219" s="54" t="s">
        <v>18</v>
      </c>
      <c r="E219" s="54" t="s">
        <v>24</v>
      </c>
      <c r="F219" s="54" t="s">
        <v>18</v>
      </c>
      <c r="G219" s="54" t="s">
        <v>43</v>
      </c>
      <c r="H219" s="54" t="s">
        <v>19</v>
      </c>
      <c r="I219" s="54" t="s">
        <v>24</v>
      </c>
      <c r="J219" s="54" t="s">
        <v>18</v>
      </c>
      <c r="K219" s="54" t="s">
        <v>18</v>
      </c>
      <c r="L219" s="54" t="s">
        <v>20</v>
      </c>
      <c r="M219" s="54" t="s">
        <v>18</v>
      </c>
      <c r="N219" s="54" t="s">
        <v>18</v>
      </c>
      <c r="O219" s="54" t="s">
        <v>18</v>
      </c>
      <c r="P219" s="54" t="s">
        <v>18</v>
      </c>
      <c r="Q219" s="54" t="s">
        <v>18</v>
      </c>
      <c r="R219" s="164" t="s">
        <v>131</v>
      </c>
      <c r="S219" s="183" t="s">
        <v>0</v>
      </c>
      <c r="T219" s="59">
        <f>T221+T223</f>
        <v>0</v>
      </c>
      <c r="U219" s="59">
        <f>SUM(U220:U223)</f>
        <v>25870.1</v>
      </c>
      <c r="V219" s="59">
        <f t="shared" ref="V219:X219" si="80">SUM(V220:V223)</f>
        <v>30</v>
      </c>
      <c r="W219" s="59">
        <f t="shared" si="80"/>
        <v>0</v>
      </c>
      <c r="X219" s="59">
        <f t="shared" si="80"/>
        <v>5337.4</v>
      </c>
      <c r="Y219" s="59">
        <f t="shared" ref="Y219:Z219" si="81">SUM(Y220:Y223)</f>
        <v>0</v>
      </c>
      <c r="Z219" s="59">
        <f t="shared" si="81"/>
        <v>0</v>
      </c>
      <c r="AA219" s="59">
        <f>SUM(T219:Z219)</f>
        <v>31237.5</v>
      </c>
      <c r="AB219" s="58">
        <v>2022</v>
      </c>
      <c r="AC219" s="102"/>
    </row>
    <row r="220" spans="1:30" s="76" customFormat="1" x14ac:dyDescent="0.25">
      <c r="A220" s="54" t="s">
        <v>18</v>
      </c>
      <c r="B220" s="54" t="s">
        <v>18</v>
      </c>
      <c r="C220" s="54" t="s">
        <v>21</v>
      </c>
      <c r="D220" s="54" t="s">
        <v>18</v>
      </c>
      <c r="E220" s="54" t="s">
        <v>24</v>
      </c>
      <c r="F220" s="54" t="s">
        <v>18</v>
      </c>
      <c r="G220" s="54" t="s">
        <v>43</v>
      </c>
      <c r="H220" s="54" t="s">
        <v>19</v>
      </c>
      <c r="I220" s="54" t="s">
        <v>24</v>
      </c>
      <c r="J220" s="54" t="s">
        <v>18</v>
      </c>
      <c r="K220" s="54" t="s">
        <v>18</v>
      </c>
      <c r="L220" s="54" t="s">
        <v>20</v>
      </c>
      <c r="M220" s="54" t="s">
        <v>19</v>
      </c>
      <c r="N220" s="54" t="s">
        <v>18</v>
      </c>
      <c r="O220" s="54" t="s">
        <v>169</v>
      </c>
      <c r="P220" s="54" t="s">
        <v>21</v>
      </c>
      <c r="Q220" s="54" t="s">
        <v>25</v>
      </c>
      <c r="R220" s="164"/>
      <c r="S220" s="184"/>
      <c r="T220" s="1">
        <v>0</v>
      </c>
      <c r="U220" s="1">
        <f>16800.1+3497.2</f>
        <v>20297.3</v>
      </c>
      <c r="V220" s="1">
        <v>0</v>
      </c>
      <c r="W220" s="1">
        <v>0</v>
      </c>
      <c r="X220" s="1">
        <f>5566.2-1385.8</f>
        <v>4180.3999999999996</v>
      </c>
      <c r="Y220" s="1">
        <v>0</v>
      </c>
      <c r="Z220" s="1">
        <v>0</v>
      </c>
      <c r="AA220" s="59">
        <f t="shared" ref="AA220:AA222" si="82">SUM(T220:Z220)</f>
        <v>24477.699999999997</v>
      </c>
      <c r="AB220" s="58">
        <v>2022</v>
      </c>
      <c r="AC220" s="102"/>
    </row>
    <row r="221" spans="1:30" s="76" customFormat="1" x14ac:dyDescent="0.25">
      <c r="A221" s="54" t="s">
        <v>18</v>
      </c>
      <c r="B221" s="54" t="s">
        <v>18</v>
      </c>
      <c r="C221" s="54" t="s">
        <v>21</v>
      </c>
      <c r="D221" s="54" t="s">
        <v>18</v>
      </c>
      <c r="E221" s="54" t="s">
        <v>24</v>
      </c>
      <c r="F221" s="54" t="s">
        <v>18</v>
      </c>
      <c r="G221" s="54" t="s">
        <v>43</v>
      </c>
      <c r="H221" s="54" t="s">
        <v>19</v>
      </c>
      <c r="I221" s="54" t="s">
        <v>24</v>
      </c>
      <c r="J221" s="54" t="s">
        <v>18</v>
      </c>
      <c r="K221" s="54" t="s">
        <v>18</v>
      </c>
      <c r="L221" s="54" t="s">
        <v>20</v>
      </c>
      <c r="M221" s="54" t="s">
        <v>37</v>
      </c>
      <c r="N221" s="54" t="s">
        <v>18</v>
      </c>
      <c r="O221" s="54" t="s">
        <v>169</v>
      </c>
      <c r="P221" s="54" t="s">
        <v>21</v>
      </c>
      <c r="Q221" s="54" t="s">
        <v>25</v>
      </c>
      <c r="R221" s="164"/>
      <c r="S221" s="184"/>
      <c r="T221" s="1">
        <v>0</v>
      </c>
      <c r="U221" s="1">
        <f>4199.9+588.4+1708.4-290-845.8</f>
        <v>5360.8999999999987</v>
      </c>
      <c r="V221" s="1">
        <f>1355-1355</f>
        <v>0</v>
      </c>
      <c r="W221" s="1">
        <f>1500-1500</f>
        <v>0</v>
      </c>
      <c r="X221" s="1">
        <v>1045.0999999999999</v>
      </c>
      <c r="Y221" s="1">
        <f>1500-1500</f>
        <v>0</v>
      </c>
      <c r="Z221" s="1">
        <f>1500-1500</f>
        <v>0</v>
      </c>
      <c r="AA221" s="59">
        <f t="shared" si="82"/>
        <v>6405.9999999999982</v>
      </c>
      <c r="AB221" s="58">
        <v>2022</v>
      </c>
      <c r="AC221" s="102"/>
    </row>
    <row r="222" spans="1:30" s="76" customFormat="1" x14ac:dyDescent="0.25">
      <c r="A222" s="54" t="s">
        <v>18</v>
      </c>
      <c r="B222" s="54" t="s">
        <v>18</v>
      </c>
      <c r="C222" s="54" t="s">
        <v>21</v>
      </c>
      <c r="D222" s="54" t="s">
        <v>18</v>
      </c>
      <c r="E222" s="54" t="s">
        <v>24</v>
      </c>
      <c r="F222" s="54" t="s">
        <v>18</v>
      </c>
      <c r="G222" s="54" t="s">
        <v>43</v>
      </c>
      <c r="H222" s="54" t="s">
        <v>19</v>
      </c>
      <c r="I222" s="54" t="s">
        <v>24</v>
      </c>
      <c r="J222" s="54" t="s">
        <v>18</v>
      </c>
      <c r="K222" s="54" t="s">
        <v>18</v>
      </c>
      <c r="L222" s="54" t="s">
        <v>20</v>
      </c>
      <c r="M222" s="54" t="s">
        <v>18</v>
      </c>
      <c r="N222" s="54" t="s">
        <v>18</v>
      </c>
      <c r="O222" s="54" t="s">
        <v>169</v>
      </c>
      <c r="P222" s="54" t="s">
        <v>21</v>
      </c>
      <c r="Q222" s="54" t="s">
        <v>25</v>
      </c>
      <c r="R222" s="164"/>
      <c r="S222" s="184"/>
      <c r="T222" s="1">
        <v>0</v>
      </c>
      <c r="U222" s="1">
        <v>0</v>
      </c>
      <c r="V222" s="1">
        <v>0</v>
      </c>
      <c r="W222" s="1">
        <v>0</v>
      </c>
      <c r="X222" s="1">
        <v>111.9</v>
      </c>
      <c r="Y222" s="1">
        <v>0</v>
      </c>
      <c r="Z222" s="1">
        <v>0</v>
      </c>
      <c r="AA222" s="59">
        <f t="shared" si="82"/>
        <v>111.9</v>
      </c>
      <c r="AB222" s="58">
        <v>2022</v>
      </c>
      <c r="AC222" s="102"/>
    </row>
    <row r="223" spans="1:30" s="76" customFormat="1" x14ac:dyDescent="0.25">
      <c r="A223" s="54" t="s">
        <v>18</v>
      </c>
      <c r="B223" s="54" t="s">
        <v>18</v>
      </c>
      <c r="C223" s="54" t="s">
        <v>21</v>
      </c>
      <c r="D223" s="54" t="s">
        <v>18</v>
      </c>
      <c r="E223" s="54" t="s">
        <v>24</v>
      </c>
      <c r="F223" s="54" t="s">
        <v>18</v>
      </c>
      <c r="G223" s="54" t="s">
        <v>43</v>
      </c>
      <c r="H223" s="54" t="s">
        <v>19</v>
      </c>
      <c r="I223" s="54" t="s">
        <v>24</v>
      </c>
      <c r="J223" s="54" t="s">
        <v>18</v>
      </c>
      <c r="K223" s="54" t="s">
        <v>18</v>
      </c>
      <c r="L223" s="54" t="s">
        <v>20</v>
      </c>
      <c r="M223" s="54" t="s">
        <v>43</v>
      </c>
      <c r="N223" s="54" t="s">
        <v>43</v>
      </c>
      <c r="O223" s="54" t="s">
        <v>43</v>
      </c>
      <c r="P223" s="54" t="s">
        <v>43</v>
      </c>
      <c r="Q223" s="54" t="s">
        <v>43</v>
      </c>
      <c r="R223" s="164"/>
      <c r="S223" s="185"/>
      <c r="T223" s="1">
        <v>0</v>
      </c>
      <c r="U223" s="1">
        <f>145-145+100+449.4+12.6+23.8-373.9</f>
        <v>211.89999999999998</v>
      </c>
      <c r="V223" s="1">
        <f>145-115</f>
        <v>30</v>
      </c>
      <c r="W223" s="1">
        <v>0</v>
      </c>
      <c r="X223" s="1">
        <v>0</v>
      </c>
      <c r="Y223" s="1">
        <v>0</v>
      </c>
      <c r="Z223" s="1">
        <v>0</v>
      </c>
      <c r="AA223" s="59">
        <f>SUM(T223:Z223)</f>
        <v>241.89999999999998</v>
      </c>
      <c r="AB223" s="58">
        <v>2020</v>
      </c>
      <c r="AC223" s="102"/>
    </row>
    <row r="224" spans="1:30" s="76" customFormat="1" ht="63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40" t="s">
        <v>264</v>
      </c>
      <c r="S224" s="62" t="s">
        <v>52</v>
      </c>
      <c r="T224" s="44">
        <v>0</v>
      </c>
      <c r="U224" s="3">
        <v>11.9</v>
      </c>
      <c r="V224" s="3">
        <f>4-4</f>
        <v>0</v>
      </c>
      <c r="W224" s="3">
        <v>0</v>
      </c>
      <c r="X224" s="3">
        <v>1.9</v>
      </c>
      <c r="Y224" s="3">
        <v>0</v>
      </c>
      <c r="Z224" s="3">
        <v>0</v>
      </c>
      <c r="AA224" s="49">
        <f>SUM(T224:Z224)</f>
        <v>13.8</v>
      </c>
      <c r="AB224" s="41">
        <v>2022</v>
      </c>
      <c r="AC224" s="102"/>
    </row>
    <row r="225" spans="1:30" s="76" customFormat="1" ht="47.25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80" t="s">
        <v>265</v>
      </c>
      <c r="S225" s="62" t="s">
        <v>38</v>
      </c>
      <c r="T225" s="44">
        <v>0</v>
      </c>
      <c r="U225" s="44">
        <v>3</v>
      </c>
      <c r="V225" s="44">
        <f>3-3</f>
        <v>0</v>
      </c>
      <c r="W225" s="44">
        <v>0</v>
      </c>
      <c r="X225" s="44">
        <v>1</v>
      </c>
      <c r="Y225" s="44">
        <v>0</v>
      </c>
      <c r="Z225" s="44">
        <v>0</v>
      </c>
      <c r="AA225" s="49">
        <f>SUM(T225:Z225)</f>
        <v>4</v>
      </c>
      <c r="AB225" s="41">
        <v>2022</v>
      </c>
      <c r="AC225" s="102"/>
      <c r="AD225" s="81"/>
    </row>
    <row r="226" spans="1:30" s="132" customFormat="1" ht="63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78" t="s">
        <v>271</v>
      </c>
      <c r="S226" s="52" t="s">
        <v>38</v>
      </c>
      <c r="T226" s="44">
        <v>0</v>
      </c>
      <c r="U226" s="44">
        <v>3</v>
      </c>
      <c r="V226" s="44">
        <v>1</v>
      </c>
      <c r="W226" s="44">
        <v>0</v>
      </c>
      <c r="X226" s="44">
        <v>1</v>
      </c>
      <c r="Y226" s="44">
        <v>0</v>
      </c>
      <c r="Z226" s="44">
        <v>0</v>
      </c>
      <c r="AA226" s="49">
        <f>SUM(T226:Z226)</f>
        <v>5</v>
      </c>
      <c r="AB226" s="41">
        <v>2022</v>
      </c>
      <c r="AC226" s="110"/>
      <c r="AD226" s="131"/>
    </row>
    <row r="227" spans="1:30" s="76" customFormat="1" x14ac:dyDescent="0.25">
      <c r="A227" s="54" t="s">
        <v>18</v>
      </c>
      <c r="B227" s="54" t="s">
        <v>18</v>
      </c>
      <c r="C227" s="54" t="s">
        <v>25</v>
      </c>
      <c r="D227" s="54" t="s">
        <v>18</v>
      </c>
      <c r="E227" s="54" t="s">
        <v>24</v>
      </c>
      <c r="F227" s="54" t="s">
        <v>18</v>
      </c>
      <c r="G227" s="54" t="s">
        <v>43</v>
      </c>
      <c r="H227" s="54" t="s">
        <v>19</v>
      </c>
      <c r="I227" s="54" t="s">
        <v>24</v>
      </c>
      <c r="J227" s="54" t="s">
        <v>18</v>
      </c>
      <c r="K227" s="54" t="s">
        <v>18</v>
      </c>
      <c r="L227" s="54" t="s">
        <v>20</v>
      </c>
      <c r="M227" s="54" t="s">
        <v>18</v>
      </c>
      <c r="N227" s="54" t="s">
        <v>18</v>
      </c>
      <c r="O227" s="54" t="s">
        <v>18</v>
      </c>
      <c r="P227" s="54" t="s">
        <v>18</v>
      </c>
      <c r="Q227" s="54" t="s">
        <v>18</v>
      </c>
      <c r="R227" s="164" t="s">
        <v>131</v>
      </c>
      <c r="S227" s="183" t="s">
        <v>0</v>
      </c>
      <c r="T227" s="59">
        <f>T229+T231</f>
        <v>0</v>
      </c>
      <c r="U227" s="59">
        <f>SUM(U228:U231)</f>
        <v>10158.9</v>
      </c>
      <c r="V227" s="59">
        <f t="shared" ref="V227:X227" si="83">SUM(V228:V231)</f>
        <v>491</v>
      </c>
      <c r="W227" s="59">
        <f t="shared" si="83"/>
        <v>0</v>
      </c>
      <c r="X227" s="59">
        <f t="shared" si="83"/>
        <v>4885.0999999999995</v>
      </c>
      <c r="Y227" s="59">
        <f t="shared" ref="Y227:Z227" si="84">SUM(Y228:Y231)</f>
        <v>0</v>
      </c>
      <c r="Z227" s="59">
        <f t="shared" si="84"/>
        <v>0</v>
      </c>
      <c r="AA227" s="59">
        <f t="shared" ref="AA227:AA231" si="85">SUM(T227:Z227)</f>
        <v>15535</v>
      </c>
      <c r="AB227" s="58">
        <v>2022</v>
      </c>
      <c r="AC227" s="102"/>
    </row>
    <row r="228" spans="1:30" s="76" customFormat="1" x14ac:dyDescent="0.25">
      <c r="A228" s="54" t="s">
        <v>18</v>
      </c>
      <c r="B228" s="54" t="s">
        <v>18</v>
      </c>
      <c r="C228" s="54" t="s">
        <v>25</v>
      </c>
      <c r="D228" s="54" t="s">
        <v>18</v>
      </c>
      <c r="E228" s="54" t="s">
        <v>24</v>
      </c>
      <c r="F228" s="54" t="s">
        <v>18</v>
      </c>
      <c r="G228" s="54" t="s">
        <v>43</v>
      </c>
      <c r="H228" s="54" t="s">
        <v>19</v>
      </c>
      <c r="I228" s="54" t="s">
        <v>24</v>
      </c>
      <c r="J228" s="54" t="s">
        <v>18</v>
      </c>
      <c r="K228" s="54" t="s">
        <v>18</v>
      </c>
      <c r="L228" s="54" t="s">
        <v>20</v>
      </c>
      <c r="M228" s="54" t="s">
        <v>19</v>
      </c>
      <c r="N228" s="54" t="s">
        <v>18</v>
      </c>
      <c r="O228" s="54" t="s">
        <v>169</v>
      </c>
      <c r="P228" s="54" t="s">
        <v>21</v>
      </c>
      <c r="Q228" s="54" t="s">
        <v>25</v>
      </c>
      <c r="R228" s="164"/>
      <c r="S228" s="184"/>
      <c r="T228" s="1">
        <v>0</v>
      </c>
      <c r="U228" s="1">
        <f>9600-1604.2</f>
        <v>7995.8</v>
      </c>
      <c r="V228" s="1">
        <v>0</v>
      </c>
      <c r="W228" s="1">
        <v>0</v>
      </c>
      <c r="X228" s="1">
        <v>3184.8</v>
      </c>
      <c r="Y228" s="1">
        <v>0</v>
      </c>
      <c r="Z228" s="1">
        <v>0</v>
      </c>
      <c r="AA228" s="59">
        <f t="shared" si="85"/>
        <v>11180.6</v>
      </c>
      <c r="AB228" s="58">
        <v>2022</v>
      </c>
      <c r="AC228" s="102"/>
    </row>
    <row r="229" spans="1:30" s="76" customFormat="1" x14ac:dyDescent="0.25">
      <c r="A229" s="54" t="s">
        <v>18</v>
      </c>
      <c r="B229" s="54" t="s">
        <v>18</v>
      </c>
      <c r="C229" s="54" t="s">
        <v>25</v>
      </c>
      <c r="D229" s="54" t="s">
        <v>18</v>
      </c>
      <c r="E229" s="54" t="s">
        <v>24</v>
      </c>
      <c r="F229" s="54" t="s">
        <v>18</v>
      </c>
      <c r="G229" s="54" t="s">
        <v>43</v>
      </c>
      <c r="H229" s="54" t="s">
        <v>19</v>
      </c>
      <c r="I229" s="54" t="s">
        <v>24</v>
      </c>
      <c r="J229" s="54" t="s">
        <v>18</v>
      </c>
      <c r="K229" s="54" t="s">
        <v>18</v>
      </c>
      <c r="L229" s="54" t="s">
        <v>20</v>
      </c>
      <c r="M229" s="54" t="s">
        <v>37</v>
      </c>
      <c r="N229" s="54" t="s">
        <v>18</v>
      </c>
      <c r="O229" s="54" t="s">
        <v>169</v>
      </c>
      <c r="P229" s="54" t="s">
        <v>21</v>
      </c>
      <c r="Q229" s="54" t="s">
        <v>25</v>
      </c>
      <c r="R229" s="164"/>
      <c r="S229" s="184"/>
      <c r="T229" s="1">
        <v>0</v>
      </c>
      <c r="U229" s="1">
        <f>2401-402-43.9</f>
        <v>1955.1</v>
      </c>
      <c r="V229" s="1">
        <f>798.8-798.8</f>
        <v>0</v>
      </c>
      <c r="W229" s="1">
        <f>1500-1500</f>
        <v>0</v>
      </c>
      <c r="X229" s="1">
        <v>796.2</v>
      </c>
      <c r="Y229" s="1">
        <f>1500-1500</f>
        <v>0</v>
      </c>
      <c r="Z229" s="1">
        <f>1500-1500</f>
        <v>0</v>
      </c>
      <c r="AA229" s="59">
        <f t="shared" si="85"/>
        <v>2751.3</v>
      </c>
      <c r="AB229" s="58">
        <v>2022</v>
      </c>
      <c r="AC229" s="102"/>
    </row>
    <row r="230" spans="1:30" s="76" customFormat="1" x14ac:dyDescent="0.25">
      <c r="A230" s="54" t="s">
        <v>18</v>
      </c>
      <c r="B230" s="54" t="s">
        <v>18</v>
      </c>
      <c r="C230" s="54" t="s">
        <v>25</v>
      </c>
      <c r="D230" s="54" t="s">
        <v>18</v>
      </c>
      <c r="E230" s="54" t="s">
        <v>24</v>
      </c>
      <c r="F230" s="54" t="s">
        <v>18</v>
      </c>
      <c r="G230" s="54" t="s">
        <v>43</v>
      </c>
      <c r="H230" s="54" t="s">
        <v>19</v>
      </c>
      <c r="I230" s="54" t="s">
        <v>24</v>
      </c>
      <c r="J230" s="54" t="s">
        <v>18</v>
      </c>
      <c r="K230" s="54" t="s">
        <v>18</v>
      </c>
      <c r="L230" s="54" t="s">
        <v>20</v>
      </c>
      <c r="M230" s="54" t="s">
        <v>18</v>
      </c>
      <c r="N230" s="54" t="s">
        <v>18</v>
      </c>
      <c r="O230" s="54" t="s">
        <v>169</v>
      </c>
      <c r="P230" s="54" t="s">
        <v>21</v>
      </c>
      <c r="Q230" s="54" t="s">
        <v>25</v>
      </c>
      <c r="R230" s="164"/>
      <c r="S230" s="184"/>
      <c r="T230" s="1">
        <v>0</v>
      </c>
      <c r="U230" s="1">
        <v>0</v>
      </c>
      <c r="V230" s="1">
        <v>0</v>
      </c>
      <c r="W230" s="1">
        <v>0</v>
      </c>
      <c r="X230" s="1">
        <f>105.8-51.1</f>
        <v>54.699999999999996</v>
      </c>
      <c r="Y230" s="1">
        <v>0</v>
      </c>
      <c r="Z230" s="1">
        <v>0</v>
      </c>
      <c r="AA230" s="59">
        <f t="shared" si="85"/>
        <v>54.699999999999996</v>
      </c>
      <c r="AB230" s="58">
        <v>2022</v>
      </c>
      <c r="AC230" s="102"/>
    </row>
    <row r="231" spans="1:30" s="76" customFormat="1" x14ac:dyDescent="0.25">
      <c r="A231" s="54" t="s">
        <v>18</v>
      </c>
      <c r="B231" s="54" t="s">
        <v>18</v>
      </c>
      <c r="C231" s="54" t="s">
        <v>25</v>
      </c>
      <c r="D231" s="54" t="s">
        <v>18</v>
      </c>
      <c r="E231" s="54" t="s">
        <v>24</v>
      </c>
      <c r="F231" s="54" t="s">
        <v>18</v>
      </c>
      <c r="G231" s="54" t="s">
        <v>43</v>
      </c>
      <c r="H231" s="54" t="s">
        <v>19</v>
      </c>
      <c r="I231" s="54" t="s">
        <v>24</v>
      </c>
      <c r="J231" s="54" t="s">
        <v>18</v>
      </c>
      <c r="K231" s="54" t="s">
        <v>18</v>
      </c>
      <c r="L231" s="54" t="s">
        <v>20</v>
      </c>
      <c r="M231" s="54" t="s">
        <v>43</v>
      </c>
      <c r="N231" s="54" t="s">
        <v>43</v>
      </c>
      <c r="O231" s="54" t="s">
        <v>43</v>
      </c>
      <c r="P231" s="54" t="s">
        <v>43</v>
      </c>
      <c r="Q231" s="54" t="s">
        <v>43</v>
      </c>
      <c r="R231" s="164"/>
      <c r="S231" s="185"/>
      <c r="T231" s="1">
        <v>0</v>
      </c>
      <c r="U231" s="1">
        <f>356.9+402-550.9</f>
        <v>208</v>
      </c>
      <c r="V231" s="1">
        <f>701.2-88.6-121.6</f>
        <v>491</v>
      </c>
      <c r="W231" s="1">
        <v>0</v>
      </c>
      <c r="X231" s="1">
        <f>0+849.4</f>
        <v>849.4</v>
      </c>
      <c r="Y231" s="1">
        <v>0</v>
      </c>
      <c r="Z231" s="1">
        <v>0</v>
      </c>
      <c r="AA231" s="59">
        <f t="shared" si="85"/>
        <v>1548.4</v>
      </c>
      <c r="AB231" s="58">
        <v>2020</v>
      </c>
      <c r="AC231" s="102"/>
    </row>
    <row r="232" spans="1:30" s="76" customFormat="1" ht="63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78" t="s">
        <v>266</v>
      </c>
      <c r="S232" s="62" t="s">
        <v>52</v>
      </c>
      <c r="T232" s="3">
        <v>0</v>
      </c>
      <c r="U232" s="3">
        <v>4.0999999999999996</v>
      </c>
      <c r="V232" s="3">
        <f>1.3-1.3</f>
        <v>0</v>
      </c>
      <c r="W232" s="3">
        <v>0</v>
      </c>
      <c r="X232" s="3">
        <v>1</v>
      </c>
      <c r="Y232" s="3">
        <v>0</v>
      </c>
      <c r="Z232" s="3">
        <v>0</v>
      </c>
      <c r="AA232" s="6">
        <f>SUM(T232:Z232)</f>
        <v>5.0999999999999996</v>
      </c>
      <c r="AB232" s="41">
        <v>2022</v>
      </c>
      <c r="AC232" s="102"/>
    </row>
    <row r="233" spans="1:30" s="76" customFormat="1" ht="45" customHeight="1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80" t="s">
        <v>267</v>
      </c>
      <c r="S233" s="62" t="s">
        <v>38</v>
      </c>
      <c r="T233" s="44">
        <v>0</v>
      </c>
      <c r="U233" s="44">
        <v>5</v>
      </c>
      <c r="V233" s="44">
        <f>1-1</f>
        <v>0</v>
      </c>
      <c r="W233" s="44">
        <v>0</v>
      </c>
      <c r="X233" s="44">
        <v>1</v>
      </c>
      <c r="Y233" s="44">
        <v>0</v>
      </c>
      <c r="Z233" s="44">
        <v>0</v>
      </c>
      <c r="AA233" s="6">
        <f t="shared" ref="AA233:AA234" si="86">SUM(T233:Z233)</f>
        <v>6</v>
      </c>
      <c r="AB233" s="41">
        <v>2022</v>
      </c>
      <c r="AC233" s="102"/>
      <c r="AD233" s="81"/>
    </row>
    <row r="234" spans="1:30" s="132" customFormat="1" ht="63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78" t="s">
        <v>316</v>
      </c>
      <c r="S234" s="52" t="s">
        <v>38</v>
      </c>
      <c r="T234" s="44">
        <v>0</v>
      </c>
      <c r="U234" s="44">
        <v>5</v>
      </c>
      <c r="V234" s="44">
        <v>8</v>
      </c>
      <c r="W234" s="44">
        <v>0</v>
      </c>
      <c r="X234" s="44">
        <v>1</v>
      </c>
      <c r="Y234" s="44">
        <v>0</v>
      </c>
      <c r="Z234" s="44">
        <v>0</v>
      </c>
      <c r="AA234" s="49">
        <f t="shared" si="86"/>
        <v>14</v>
      </c>
      <c r="AB234" s="41">
        <v>2022</v>
      </c>
      <c r="AC234" s="110"/>
      <c r="AD234" s="131"/>
    </row>
    <row r="235" spans="1:30" s="76" customFormat="1" ht="19.149999999999999" customHeight="1" x14ac:dyDescent="0.25">
      <c r="A235" s="54" t="s">
        <v>18</v>
      </c>
      <c r="B235" s="54" t="s">
        <v>19</v>
      </c>
      <c r="C235" s="54" t="s">
        <v>20</v>
      </c>
      <c r="D235" s="54" t="s">
        <v>18</v>
      </c>
      <c r="E235" s="54" t="s">
        <v>24</v>
      </c>
      <c r="F235" s="54" t="s">
        <v>18</v>
      </c>
      <c r="G235" s="54" t="s">
        <v>43</v>
      </c>
      <c r="H235" s="54" t="s">
        <v>19</v>
      </c>
      <c r="I235" s="54" t="s">
        <v>24</v>
      </c>
      <c r="J235" s="54" t="s">
        <v>18</v>
      </c>
      <c r="K235" s="54" t="s">
        <v>18</v>
      </c>
      <c r="L235" s="54" t="s">
        <v>20</v>
      </c>
      <c r="M235" s="54" t="s">
        <v>18</v>
      </c>
      <c r="N235" s="54" t="s">
        <v>18</v>
      </c>
      <c r="O235" s="54" t="s">
        <v>18</v>
      </c>
      <c r="P235" s="54" t="s">
        <v>18</v>
      </c>
      <c r="Q235" s="54" t="s">
        <v>18</v>
      </c>
      <c r="R235" s="164" t="s">
        <v>131</v>
      </c>
      <c r="S235" s="183" t="s">
        <v>0</v>
      </c>
      <c r="T235" s="59">
        <f t="shared" ref="T235:Z235" si="87">SUM(T236:T238)</f>
        <v>123487.5</v>
      </c>
      <c r="U235" s="59">
        <f t="shared" si="87"/>
        <v>579.5</v>
      </c>
      <c r="V235" s="59">
        <f t="shared" si="87"/>
        <v>0</v>
      </c>
      <c r="W235" s="59">
        <f t="shared" si="87"/>
        <v>0</v>
      </c>
      <c r="X235" s="59">
        <f t="shared" si="87"/>
        <v>0</v>
      </c>
      <c r="Y235" s="59">
        <f t="shared" si="87"/>
        <v>0</v>
      </c>
      <c r="Z235" s="59">
        <f t="shared" si="87"/>
        <v>0</v>
      </c>
      <c r="AA235" s="59">
        <f t="shared" ref="AA235:AA240" si="88">SUM(T235:Z235)</f>
        <v>124067</v>
      </c>
      <c r="AB235" s="58">
        <v>2019</v>
      </c>
      <c r="AC235" s="119"/>
    </row>
    <row r="236" spans="1:30" s="76" customFormat="1" ht="19.149999999999999" customHeight="1" x14ac:dyDescent="0.25">
      <c r="A236" s="54" t="s">
        <v>18</v>
      </c>
      <c r="B236" s="54" t="s">
        <v>19</v>
      </c>
      <c r="C236" s="54" t="s">
        <v>20</v>
      </c>
      <c r="D236" s="54" t="s">
        <v>18</v>
      </c>
      <c r="E236" s="54" t="s">
        <v>24</v>
      </c>
      <c r="F236" s="54" t="s">
        <v>18</v>
      </c>
      <c r="G236" s="54" t="s">
        <v>43</v>
      </c>
      <c r="H236" s="54" t="s">
        <v>19</v>
      </c>
      <c r="I236" s="54" t="s">
        <v>24</v>
      </c>
      <c r="J236" s="54" t="s">
        <v>18</v>
      </c>
      <c r="K236" s="54" t="s">
        <v>18</v>
      </c>
      <c r="L236" s="54" t="s">
        <v>20</v>
      </c>
      <c r="M236" s="54" t="s">
        <v>19</v>
      </c>
      <c r="N236" s="54" t="s">
        <v>18</v>
      </c>
      <c r="O236" s="54" t="s">
        <v>169</v>
      </c>
      <c r="P236" s="54" t="s">
        <v>21</v>
      </c>
      <c r="Q236" s="54" t="s">
        <v>25</v>
      </c>
      <c r="R236" s="164"/>
      <c r="S236" s="184"/>
      <c r="T236" s="1">
        <v>78128.899999999994</v>
      </c>
      <c r="U236" s="1">
        <f>57600.3-57600.3</f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59">
        <f t="shared" si="88"/>
        <v>78128.899999999994</v>
      </c>
      <c r="AB236" s="58">
        <v>2018</v>
      </c>
      <c r="AC236" s="33"/>
    </row>
    <row r="237" spans="1:30" s="76" customFormat="1" ht="19.149999999999999" customHeight="1" x14ac:dyDescent="0.25">
      <c r="A237" s="54" t="s">
        <v>18</v>
      </c>
      <c r="B237" s="54" t="s">
        <v>19</v>
      </c>
      <c r="C237" s="54" t="s">
        <v>20</v>
      </c>
      <c r="D237" s="54" t="s">
        <v>18</v>
      </c>
      <c r="E237" s="54" t="s">
        <v>24</v>
      </c>
      <c r="F237" s="54" t="s">
        <v>18</v>
      </c>
      <c r="G237" s="54" t="s">
        <v>43</v>
      </c>
      <c r="H237" s="54" t="s">
        <v>19</v>
      </c>
      <c r="I237" s="54" t="s">
        <v>24</v>
      </c>
      <c r="J237" s="54" t="s">
        <v>18</v>
      </c>
      <c r="K237" s="54" t="s">
        <v>18</v>
      </c>
      <c r="L237" s="54" t="s">
        <v>20</v>
      </c>
      <c r="M237" s="54" t="s">
        <v>37</v>
      </c>
      <c r="N237" s="54" t="s">
        <v>18</v>
      </c>
      <c r="O237" s="54" t="s">
        <v>169</v>
      </c>
      <c r="P237" s="54" t="s">
        <v>21</v>
      </c>
      <c r="Q237" s="54" t="s">
        <v>25</v>
      </c>
      <c r="R237" s="164"/>
      <c r="S237" s="184"/>
      <c r="T237" s="1">
        <f>18932.6+19997.4+4074.8+2495.5-26-605.7-796.8</f>
        <v>44071.8</v>
      </c>
      <c r="U237" s="1">
        <f>0+14400.7-14400.7</f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59">
        <f t="shared" si="88"/>
        <v>44071.8</v>
      </c>
      <c r="AB237" s="58">
        <v>2018</v>
      </c>
      <c r="AC237" s="33"/>
    </row>
    <row r="238" spans="1:30" s="76" customFormat="1" ht="19.149999999999999" customHeight="1" x14ac:dyDescent="0.25">
      <c r="A238" s="54" t="s">
        <v>18</v>
      </c>
      <c r="B238" s="54" t="s">
        <v>19</v>
      </c>
      <c r="C238" s="54" t="s">
        <v>20</v>
      </c>
      <c r="D238" s="54" t="s">
        <v>18</v>
      </c>
      <c r="E238" s="54" t="s">
        <v>24</v>
      </c>
      <c r="F238" s="54" t="s">
        <v>18</v>
      </c>
      <c r="G238" s="54" t="s">
        <v>43</v>
      </c>
      <c r="H238" s="54" t="s">
        <v>19</v>
      </c>
      <c r="I238" s="54" t="s">
        <v>24</v>
      </c>
      <c r="J238" s="54" t="s">
        <v>18</v>
      </c>
      <c r="K238" s="54" t="s">
        <v>18</v>
      </c>
      <c r="L238" s="54" t="s">
        <v>20</v>
      </c>
      <c r="M238" s="54" t="s">
        <v>43</v>
      </c>
      <c r="N238" s="54" t="s">
        <v>43</v>
      </c>
      <c r="O238" s="54" t="s">
        <v>43</v>
      </c>
      <c r="P238" s="54" t="s">
        <v>43</v>
      </c>
      <c r="Q238" s="54" t="s">
        <v>43</v>
      </c>
      <c r="R238" s="164"/>
      <c r="S238" s="185"/>
      <c r="T238" s="1">
        <f>2076.9+439-203.1-904.8-121.2</f>
        <v>1286.8000000000002</v>
      </c>
      <c r="U238" s="1">
        <v>579.5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59">
        <f t="shared" si="88"/>
        <v>1866.3000000000002</v>
      </c>
      <c r="AB238" s="58">
        <v>2019</v>
      </c>
      <c r="AC238" s="33"/>
    </row>
    <row r="239" spans="1:30" s="132" customFormat="1" ht="63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78" t="s">
        <v>268</v>
      </c>
      <c r="S239" s="52" t="s">
        <v>52</v>
      </c>
      <c r="T239" s="3">
        <v>58.6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6">
        <f t="shared" si="88"/>
        <v>58.6</v>
      </c>
      <c r="AB239" s="41">
        <v>2018</v>
      </c>
      <c r="AC239" s="110"/>
    </row>
    <row r="240" spans="1:30" s="132" customFormat="1" ht="50.25" customHeight="1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78" t="s">
        <v>269</v>
      </c>
      <c r="S240" s="52" t="s">
        <v>38</v>
      </c>
      <c r="T240" s="44">
        <v>28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9">
        <f t="shared" si="88"/>
        <v>28</v>
      </c>
      <c r="AB240" s="41">
        <v>2018</v>
      </c>
      <c r="AC240" s="110"/>
      <c r="AD240" s="131"/>
    </row>
    <row r="241" spans="1:31" s="76" customFormat="1" ht="51.75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77" t="s">
        <v>175</v>
      </c>
      <c r="S241" s="55" t="s">
        <v>49</v>
      </c>
      <c r="T241" s="56">
        <v>1</v>
      </c>
      <c r="U241" s="56">
        <v>1</v>
      </c>
      <c r="V241" s="56">
        <v>1</v>
      </c>
      <c r="W241" s="56">
        <v>1</v>
      </c>
      <c r="X241" s="56">
        <v>1</v>
      </c>
      <c r="Y241" s="56">
        <v>1</v>
      </c>
      <c r="Z241" s="56">
        <v>1</v>
      </c>
      <c r="AA241" s="57">
        <v>1</v>
      </c>
      <c r="AB241" s="58">
        <v>2024</v>
      </c>
      <c r="AC241" s="33"/>
    </row>
    <row r="242" spans="1:31" ht="39.75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78" t="s">
        <v>132</v>
      </c>
      <c r="S242" s="41" t="s">
        <v>50</v>
      </c>
      <c r="T242" s="44">
        <f>25+19+31+16</f>
        <v>91</v>
      </c>
      <c r="U242" s="44">
        <f>6+15+31+5</f>
        <v>57</v>
      </c>
      <c r="V242" s="44">
        <f>50+19+31+70-60-49</f>
        <v>61</v>
      </c>
      <c r="W242" s="44">
        <f>2+15+31+30</f>
        <v>78</v>
      </c>
      <c r="X242" s="44">
        <f t="shared" ref="X242:Z242" si="89">50+19+31+70-60-49</f>
        <v>61</v>
      </c>
      <c r="Y242" s="44">
        <f t="shared" si="89"/>
        <v>61</v>
      </c>
      <c r="Z242" s="44">
        <f t="shared" si="89"/>
        <v>61</v>
      </c>
      <c r="AA242" s="49">
        <f>SUM(T242:Z242)</f>
        <v>470</v>
      </c>
      <c r="AB242" s="41">
        <v>2024</v>
      </c>
      <c r="AC242" s="127"/>
      <c r="AD242" s="100"/>
      <c r="AE242" s="100"/>
    </row>
    <row r="243" spans="1:31" ht="45" customHeight="1" x14ac:dyDescent="0.25">
      <c r="A243" s="54"/>
      <c r="B243" s="54"/>
      <c r="C243" s="54"/>
      <c r="D243" s="54"/>
      <c r="E243" s="54"/>
      <c r="F243" s="54"/>
      <c r="G243" s="54"/>
      <c r="H243" s="54" t="s">
        <v>19</v>
      </c>
      <c r="I243" s="54" t="s">
        <v>24</v>
      </c>
      <c r="J243" s="54" t="s">
        <v>18</v>
      </c>
      <c r="K243" s="54" t="s">
        <v>18</v>
      </c>
      <c r="L243" s="54" t="s">
        <v>20</v>
      </c>
      <c r="M243" s="54" t="s">
        <v>18</v>
      </c>
      <c r="N243" s="54" t="s">
        <v>18</v>
      </c>
      <c r="O243" s="54" t="s">
        <v>18</v>
      </c>
      <c r="P243" s="54" t="s">
        <v>18</v>
      </c>
      <c r="Q243" s="54" t="s">
        <v>18</v>
      </c>
      <c r="R243" s="77" t="s">
        <v>133</v>
      </c>
      <c r="S243" s="58" t="s">
        <v>0</v>
      </c>
      <c r="T243" s="59">
        <f>T246+T293+T431+T336+T443</f>
        <v>22266.699999999997</v>
      </c>
      <c r="U243" s="59">
        <f>U246+U293+U431+U336+U443</f>
        <v>22466.400000000001</v>
      </c>
      <c r="V243" s="59">
        <f>V246+V293+V431+V336+V443</f>
        <v>7085.3</v>
      </c>
      <c r="W243" s="59">
        <f>W246+W293+W431+W336+W443</f>
        <v>17341.099999999999</v>
      </c>
      <c r="X243" s="59">
        <f>X246+X293+X431+X336+X443</f>
        <v>11324.699999999999</v>
      </c>
      <c r="Y243" s="59">
        <f t="shared" ref="Y243:Z243" si="90">Y246+Y293+Y431+Y336+Y443</f>
        <v>8000</v>
      </c>
      <c r="Z243" s="59">
        <f t="shared" si="90"/>
        <v>10000</v>
      </c>
      <c r="AA243" s="59">
        <f>SUM(T243:Z243)</f>
        <v>98484.2</v>
      </c>
      <c r="AB243" s="58">
        <v>2022</v>
      </c>
      <c r="AC243" s="37"/>
      <c r="AD243" s="100"/>
      <c r="AE243" s="100"/>
    </row>
    <row r="244" spans="1:31" ht="36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80" t="s">
        <v>179</v>
      </c>
      <c r="S244" s="62" t="s">
        <v>52</v>
      </c>
      <c r="T244" s="3">
        <f>T303+T348+T440</f>
        <v>4.4000000000000004</v>
      </c>
      <c r="U244" s="3">
        <f>U303+U348+U440+U256</f>
        <v>4</v>
      </c>
      <c r="V244" s="3">
        <f>V303+V348+V440+V256</f>
        <v>1.7000000000000002</v>
      </c>
      <c r="W244" s="3">
        <f>W303+W348+W440+W256</f>
        <v>4.6000000000000005</v>
      </c>
      <c r="X244" s="3">
        <f>X303+X348+X440+X256</f>
        <v>3.8000000000000003</v>
      </c>
      <c r="Y244" s="3">
        <f>Y303+Y348+Y440+Y256+Y444</f>
        <v>8</v>
      </c>
      <c r="Z244" s="3">
        <f>Z303+Z348+Z440+Z256+Z444</f>
        <v>10</v>
      </c>
      <c r="AA244" s="6">
        <f>SUM(T244:Z244)</f>
        <v>36.5</v>
      </c>
      <c r="AB244" s="41">
        <v>2022</v>
      </c>
      <c r="AC244" s="9"/>
      <c r="AD244" s="100"/>
      <c r="AE244" s="100"/>
    </row>
    <row r="245" spans="1:31" ht="38.25" customHeight="1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61" t="s">
        <v>176</v>
      </c>
      <c r="S245" s="41" t="s">
        <v>50</v>
      </c>
      <c r="T245" s="44">
        <f t="shared" ref="T245:W245" si="91">T257+T304+T349+T442</f>
        <v>30</v>
      </c>
      <c r="U245" s="44">
        <f t="shared" si="91"/>
        <v>22</v>
      </c>
      <c r="V245" s="44">
        <f t="shared" si="91"/>
        <v>7</v>
      </c>
      <c r="W245" s="44">
        <f t="shared" si="91"/>
        <v>15</v>
      </c>
      <c r="X245" s="44">
        <f>X257+X304+X349+X442</f>
        <v>6</v>
      </c>
      <c r="Y245" s="44">
        <f>Y257+Y304+Y349+Y442+Y445</f>
        <v>8</v>
      </c>
      <c r="Z245" s="44">
        <f>Z257+Z304+Z349+Z442+Z445</f>
        <v>10</v>
      </c>
      <c r="AA245" s="49">
        <f>SUM(T245:Z245)</f>
        <v>98</v>
      </c>
      <c r="AB245" s="41">
        <v>2022</v>
      </c>
      <c r="AC245" s="9"/>
      <c r="AD245" s="100"/>
      <c r="AE245" s="100"/>
    </row>
    <row r="246" spans="1:31" x14ac:dyDescent="0.25">
      <c r="A246" s="54" t="s">
        <v>18</v>
      </c>
      <c r="B246" s="54" t="s">
        <v>18</v>
      </c>
      <c r="C246" s="54" t="s">
        <v>22</v>
      </c>
      <c r="D246" s="54" t="s">
        <v>18</v>
      </c>
      <c r="E246" s="54" t="s">
        <v>18</v>
      </c>
      <c r="F246" s="54" t="s">
        <v>18</v>
      </c>
      <c r="G246" s="54" t="s">
        <v>18</v>
      </c>
      <c r="H246" s="54" t="s">
        <v>19</v>
      </c>
      <c r="I246" s="54" t="s">
        <v>24</v>
      </c>
      <c r="J246" s="54" t="s">
        <v>18</v>
      </c>
      <c r="K246" s="54" t="s">
        <v>18</v>
      </c>
      <c r="L246" s="54" t="s">
        <v>20</v>
      </c>
      <c r="M246" s="54" t="s">
        <v>18</v>
      </c>
      <c r="N246" s="54" t="s">
        <v>18</v>
      </c>
      <c r="O246" s="54" t="s">
        <v>18</v>
      </c>
      <c r="P246" s="54" t="s">
        <v>18</v>
      </c>
      <c r="Q246" s="54" t="s">
        <v>18</v>
      </c>
      <c r="R246" s="158" t="s">
        <v>133</v>
      </c>
      <c r="S246" s="161" t="s">
        <v>0</v>
      </c>
      <c r="T246" s="59">
        <f t="shared" ref="T246:V246" si="92">SUM(T247:T251)</f>
        <v>2922.6</v>
      </c>
      <c r="U246" s="59">
        <f t="shared" si="92"/>
        <v>6574.9</v>
      </c>
      <c r="V246" s="59">
        <f t="shared" si="92"/>
        <v>3964.5</v>
      </c>
      <c r="W246" s="59">
        <f>SUM(W247:W254)</f>
        <v>1826.6</v>
      </c>
      <c r="X246" s="59">
        <f>SUM(X247:X254)</f>
        <v>5634.9</v>
      </c>
      <c r="Y246" s="59">
        <f t="shared" ref="Y246:Z246" si="93">SUM(Y247:Y254)</f>
        <v>0</v>
      </c>
      <c r="Z246" s="59">
        <f t="shared" si="93"/>
        <v>0</v>
      </c>
      <c r="AA246" s="59">
        <f>SUM(T246:Z246)</f>
        <v>20923.5</v>
      </c>
      <c r="AB246" s="58">
        <v>2022</v>
      </c>
      <c r="AC246" s="123"/>
      <c r="AD246" s="100"/>
      <c r="AE246" s="100"/>
    </row>
    <row r="247" spans="1:31" x14ac:dyDescent="0.25">
      <c r="A247" s="54" t="s">
        <v>18</v>
      </c>
      <c r="B247" s="54" t="s">
        <v>18</v>
      </c>
      <c r="C247" s="54" t="s">
        <v>22</v>
      </c>
      <c r="D247" s="54" t="s">
        <v>18</v>
      </c>
      <c r="E247" s="54" t="s">
        <v>18</v>
      </c>
      <c r="F247" s="54" t="s">
        <v>18</v>
      </c>
      <c r="G247" s="54" t="s">
        <v>18</v>
      </c>
      <c r="H247" s="54" t="s">
        <v>19</v>
      </c>
      <c r="I247" s="54" t="s">
        <v>24</v>
      </c>
      <c r="J247" s="54" t="s">
        <v>18</v>
      </c>
      <c r="K247" s="54" t="s">
        <v>18</v>
      </c>
      <c r="L247" s="54" t="s">
        <v>20</v>
      </c>
      <c r="M247" s="54" t="s">
        <v>19</v>
      </c>
      <c r="N247" s="54" t="s">
        <v>18</v>
      </c>
      <c r="O247" s="54" t="s">
        <v>24</v>
      </c>
      <c r="P247" s="54" t="s">
        <v>22</v>
      </c>
      <c r="Q247" s="54" t="s">
        <v>45</v>
      </c>
      <c r="R247" s="159"/>
      <c r="S247" s="162"/>
      <c r="T247" s="1">
        <f>T259+T264+T269+T275+T281+T288</f>
        <v>1229.5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59">
        <f t="shared" ref="AA247:AA253" si="94">SUM(T247:Z247)</f>
        <v>1229.5</v>
      </c>
      <c r="AB247" s="58">
        <v>2018</v>
      </c>
      <c r="AC247" s="123"/>
      <c r="AD247" s="100"/>
      <c r="AE247" s="100"/>
    </row>
    <row r="248" spans="1:31" x14ac:dyDescent="0.25">
      <c r="A248" s="54" t="s">
        <v>18</v>
      </c>
      <c r="B248" s="54" t="s">
        <v>18</v>
      </c>
      <c r="C248" s="54" t="s">
        <v>22</v>
      </c>
      <c r="D248" s="54" t="s">
        <v>18</v>
      </c>
      <c r="E248" s="54" t="s">
        <v>18</v>
      </c>
      <c r="F248" s="54" t="s">
        <v>18</v>
      </c>
      <c r="G248" s="54" t="s">
        <v>18</v>
      </c>
      <c r="H248" s="54" t="s">
        <v>19</v>
      </c>
      <c r="I248" s="54" t="s">
        <v>24</v>
      </c>
      <c r="J248" s="54" t="s">
        <v>18</v>
      </c>
      <c r="K248" s="54" t="s">
        <v>18</v>
      </c>
      <c r="L248" s="54" t="s">
        <v>20</v>
      </c>
      <c r="M248" s="54" t="s">
        <v>37</v>
      </c>
      <c r="N248" s="54" t="s">
        <v>18</v>
      </c>
      <c r="O248" s="54" t="s">
        <v>24</v>
      </c>
      <c r="P248" s="54" t="s">
        <v>22</v>
      </c>
      <c r="Q248" s="54" t="s">
        <v>39</v>
      </c>
      <c r="R248" s="159"/>
      <c r="S248" s="162"/>
      <c r="T248" s="1">
        <v>1046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4"/>
        <v>1046</v>
      </c>
      <c r="AB248" s="58">
        <v>2018</v>
      </c>
      <c r="AC248" s="123"/>
      <c r="AD248" s="100"/>
      <c r="AE248" s="100"/>
    </row>
    <row r="249" spans="1:31" x14ac:dyDescent="0.25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18</v>
      </c>
      <c r="F249" s="54" t="s">
        <v>18</v>
      </c>
      <c r="G249" s="54" t="s">
        <v>18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37</v>
      </c>
      <c r="N249" s="54" t="s">
        <v>18</v>
      </c>
      <c r="O249" s="54" t="s">
        <v>24</v>
      </c>
      <c r="P249" s="54" t="s">
        <v>22</v>
      </c>
      <c r="Q249" s="54" t="s">
        <v>46</v>
      </c>
      <c r="R249" s="159"/>
      <c r="S249" s="162"/>
      <c r="T249" s="1">
        <v>647.1</v>
      </c>
      <c r="U249" s="1">
        <v>1329.9</v>
      </c>
      <c r="V249" s="1">
        <v>949.3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4"/>
        <v>2926.3</v>
      </c>
      <c r="AB249" s="58">
        <v>2020</v>
      </c>
      <c r="AC249" s="123"/>
      <c r="AD249" s="100"/>
      <c r="AE249" s="100"/>
    </row>
    <row r="250" spans="1:31" x14ac:dyDescent="0.25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18</v>
      </c>
      <c r="F250" s="54" t="s">
        <v>18</v>
      </c>
      <c r="G250" s="54" t="s">
        <v>18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19</v>
      </c>
      <c r="N250" s="54" t="s">
        <v>18</v>
      </c>
      <c r="O250" s="54" t="s">
        <v>24</v>
      </c>
      <c r="P250" s="54" t="s">
        <v>22</v>
      </c>
      <c r="Q250" s="54" t="s">
        <v>18</v>
      </c>
      <c r="R250" s="159"/>
      <c r="S250" s="162"/>
      <c r="T250" s="1">
        <v>0</v>
      </c>
      <c r="U250" s="1">
        <f>2901-2.9</f>
        <v>2898.1</v>
      </c>
      <c r="V250" s="1">
        <f>1721.3-1721.3</f>
        <v>0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4"/>
        <v>2898.1</v>
      </c>
      <c r="AB250" s="58">
        <v>2019</v>
      </c>
      <c r="AC250" s="123"/>
      <c r="AD250" s="100"/>
      <c r="AE250" s="100"/>
    </row>
    <row r="251" spans="1:31" x14ac:dyDescent="0.25">
      <c r="A251" s="54" t="s">
        <v>18</v>
      </c>
      <c r="B251" s="54" t="s">
        <v>18</v>
      </c>
      <c r="C251" s="54" t="s">
        <v>22</v>
      </c>
      <c r="D251" s="54" t="s">
        <v>18</v>
      </c>
      <c r="E251" s="54" t="s">
        <v>18</v>
      </c>
      <c r="F251" s="54" t="s">
        <v>18</v>
      </c>
      <c r="G251" s="54" t="s">
        <v>18</v>
      </c>
      <c r="H251" s="54" t="s">
        <v>19</v>
      </c>
      <c r="I251" s="54" t="s">
        <v>24</v>
      </c>
      <c r="J251" s="54" t="s">
        <v>18</v>
      </c>
      <c r="K251" s="54" t="s">
        <v>18</v>
      </c>
      <c r="L251" s="54" t="s">
        <v>20</v>
      </c>
      <c r="M251" s="54" t="s">
        <v>37</v>
      </c>
      <c r="N251" s="54" t="s">
        <v>18</v>
      </c>
      <c r="O251" s="54" t="s">
        <v>24</v>
      </c>
      <c r="P251" s="54" t="s">
        <v>22</v>
      </c>
      <c r="Q251" s="54" t="s">
        <v>18</v>
      </c>
      <c r="R251" s="159"/>
      <c r="S251" s="162"/>
      <c r="T251" s="1">
        <v>0</v>
      </c>
      <c r="U251" s="1">
        <f>2375.1-28.2</f>
        <v>2346.9</v>
      </c>
      <c r="V251" s="1">
        <f>1518.9+1643.8-147.5</f>
        <v>3015.2</v>
      </c>
      <c r="W251" s="1">
        <v>0</v>
      </c>
      <c r="X251" s="1">
        <v>0</v>
      </c>
      <c r="Y251" s="1">
        <v>0</v>
      </c>
      <c r="Z251" s="1">
        <v>0</v>
      </c>
      <c r="AA251" s="59">
        <f t="shared" si="94"/>
        <v>5362.1</v>
      </c>
      <c r="AB251" s="58">
        <v>2020</v>
      </c>
      <c r="AC251" s="123"/>
      <c r="AD251" s="100"/>
      <c r="AE251" s="100"/>
    </row>
    <row r="252" spans="1:31" x14ac:dyDescent="0.25">
      <c r="A252" s="54" t="s">
        <v>18</v>
      </c>
      <c r="B252" s="54" t="s">
        <v>18</v>
      </c>
      <c r="C252" s="54" t="s">
        <v>22</v>
      </c>
      <c r="D252" s="54" t="s">
        <v>18</v>
      </c>
      <c r="E252" s="54" t="s">
        <v>18</v>
      </c>
      <c r="F252" s="54" t="s">
        <v>18</v>
      </c>
      <c r="G252" s="54" t="s">
        <v>18</v>
      </c>
      <c r="H252" s="54" t="s">
        <v>19</v>
      </c>
      <c r="I252" s="54" t="s">
        <v>24</v>
      </c>
      <c r="J252" s="54" t="s">
        <v>18</v>
      </c>
      <c r="K252" s="54" t="s">
        <v>18</v>
      </c>
      <c r="L252" s="54" t="s">
        <v>20</v>
      </c>
      <c r="M252" s="54" t="s">
        <v>37</v>
      </c>
      <c r="N252" s="54" t="s">
        <v>43</v>
      </c>
      <c r="O252" s="54" t="s">
        <v>18</v>
      </c>
      <c r="P252" s="54" t="s">
        <v>18</v>
      </c>
      <c r="Q252" s="54" t="s">
        <v>18</v>
      </c>
      <c r="R252" s="159"/>
      <c r="S252" s="162"/>
      <c r="T252" s="1">
        <v>0</v>
      </c>
      <c r="U252" s="1">
        <v>0</v>
      </c>
      <c r="V252" s="1">
        <v>0</v>
      </c>
      <c r="W252" s="1">
        <f>600-33</f>
        <v>567</v>
      </c>
      <c r="X252" s="1">
        <f>1357.3+316</f>
        <v>1673.3</v>
      </c>
      <c r="Y252" s="1">
        <v>0</v>
      </c>
      <c r="Z252" s="1">
        <v>0</v>
      </c>
      <c r="AA252" s="59">
        <f t="shared" si="94"/>
        <v>2240.3000000000002</v>
      </c>
      <c r="AB252" s="58">
        <v>2022</v>
      </c>
      <c r="AC252" s="123"/>
      <c r="AD252" s="100"/>
      <c r="AE252" s="100"/>
    </row>
    <row r="253" spans="1:31" x14ac:dyDescent="0.25">
      <c r="A253" s="54" t="s">
        <v>18</v>
      </c>
      <c r="B253" s="54" t="s">
        <v>18</v>
      </c>
      <c r="C253" s="54" t="s">
        <v>22</v>
      </c>
      <c r="D253" s="54" t="s">
        <v>18</v>
      </c>
      <c r="E253" s="54" t="s">
        <v>18</v>
      </c>
      <c r="F253" s="54" t="s">
        <v>18</v>
      </c>
      <c r="G253" s="54" t="s">
        <v>18</v>
      </c>
      <c r="H253" s="54" t="s">
        <v>19</v>
      </c>
      <c r="I253" s="54" t="s">
        <v>24</v>
      </c>
      <c r="J253" s="54" t="s">
        <v>18</v>
      </c>
      <c r="K253" s="54" t="s">
        <v>18</v>
      </c>
      <c r="L253" s="54" t="s">
        <v>20</v>
      </c>
      <c r="M253" s="54" t="s">
        <v>19</v>
      </c>
      <c r="N253" s="54" t="s">
        <v>43</v>
      </c>
      <c r="O253" s="54" t="s">
        <v>18</v>
      </c>
      <c r="P253" s="54" t="s">
        <v>18</v>
      </c>
      <c r="Q253" s="54" t="s">
        <v>18</v>
      </c>
      <c r="R253" s="159"/>
      <c r="S253" s="162"/>
      <c r="T253" s="1">
        <v>0</v>
      </c>
      <c r="U253" s="1">
        <v>0</v>
      </c>
      <c r="V253" s="1">
        <v>0</v>
      </c>
      <c r="W253" s="1">
        <v>600</v>
      </c>
      <c r="X253" s="1">
        <v>2659.4</v>
      </c>
      <c r="Y253" s="1">
        <v>0</v>
      </c>
      <c r="Z253" s="1">
        <v>0</v>
      </c>
      <c r="AA253" s="59">
        <f t="shared" si="94"/>
        <v>3259.4</v>
      </c>
      <c r="AB253" s="58">
        <v>2022</v>
      </c>
      <c r="AC253" s="123"/>
      <c r="AD253" s="100"/>
      <c r="AE253" s="100"/>
    </row>
    <row r="254" spans="1:31" x14ac:dyDescent="0.25">
      <c r="A254" s="54" t="s">
        <v>18</v>
      </c>
      <c r="B254" s="54" t="s">
        <v>18</v>
      </c>
      <c r="C254" s="54" t="s">
        <v>22</v>
      </c>
      <c r="D254" s="54" t="s">
        <v>18</v>
      </c>
      <c r="E254" s="54" t="s">
        <v>18</v>
      </c>
      <c r="F254" s="54" t="s">
        <v>18</v>
      </c>
      <c r="G254" s="54" t="s">
        <v>18</v>
      </c>
      <c r="H254" s="54" t="s">
        <v>19</v>
      </c>
      <c r="I254" s="54" t="s">
        <v>24</v>
      </c>
      <c r="J254" s="54" t="s">
        <v>18</v>
      </c>
      <c r="K254" s="54" t="s">
        <v>18</v>
      </c>
      <c r="L254" s="54" t="s">
        <v>20</v>
      </c>
      <c r="M254" s="54" t="s">
        <v>37</v>
      </c>
      <c r="N254" s="54" t="s">
        <v>43</v>
      </c>
      <c r="O254" s="54" t="s">
        <v>46</v>
      </c>
      <c r="P254" s="54" t="s">
        <v>18</v>
      </c>
      <c r="Q254" s="54" t="s">
        <v>18</v>
      </c>
      <c r="R254" s="160"/>
      <c r="S254" s="163"/>
      <c r="T254" s="1">
        <v>0</v>
      </c>
      <c r="U254" s="1">
        <v>0</v>
      </c>
      <c r="V254" s="1">
        <v>0</v>
      </c>
      <c r="W254" s="1">
        <v>659.6</v>
      </c>
      <c r="X254" s="1">
        <v>1302.2</v>
      </c>
      <c r="Y254" s="1">
        <v>0</v>
      </c>
      <c r="Z254" s="1">
        <v>0</v>
      </c>
      <c r="AA254" s="59">
        <f>SUM(T254:Z254)</f>
        <v>1961.8000000000002</v>
      </c>
      <c r="AB254" s="58">
        <v>2022</v>
      </c>
      <c r="AC254" s="123"/>
      <c r="AD254" s="100"/>
      <c r="AE254" s="100"/>
    </row>
    <row r="255" spans="1:31" ht="47.25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78" t="s">
        <v>234</v>
      </c>
      <c r="S255" s="62" t="s">
        <v>52</v>
      </c>
      <c r="T255" s="3">
        <v>8.8000000000000007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6">
        <f>SUM(T255:Z255)</f>
        <v>8.8000000000000007</v>
      </c>
      <c r="AB255" s="41">
        <v>2018</v>
      </c>
      <c r="AC255" s="127"/>
      <c r="AD255" s="100"/>
      <c r="AE255" s="100"/>
    </row>
    <row r="256" spans="1:31" ht="47.25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80" t="s">
        <v>277</v>
      </c>
      <c r="S256" s="62" t="s">
        <v>52</v>
      </c>
      <c r="T256" s="3">
        <v>0</v>
      </c>
      <c r="U256" s="3">
        <v>1</v>
      </c>
      <c r="V256" s="3">
        <v>1.1000000000000001</v>
      </c>
      <c r="W256" s="3">
        <v>0.9</v>
      </c>
      <c r="X256" s="3">
        <v>1.1000000000000001</v>
      </c>
      <c r="Y256" s="3">
        <v>0</v>
      </c>
      <c r="Z256" s="3">
        <v>0</v>
      </c>
      <c r="AA256" s="6">
        <f t="shared" ref="AA256" si="95">SUM(T256:Z256)</f>
        <v>4.0999999999999996</v>
      </c>
      <c r="AB256" s="41">
        <v>2022</v>
      </c>
      <c r="AC256" s="127"/>
      <c r="AD256" s="100"/>
      <c r="AE256" s="100"/>
    </row>
    <row r="257" spans="1:31" ht="47.25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78" t="s">
        <v>278</v>
      </c>
      <c r="S257" s="84" t="s">
        <v>50</v>
      </c>
      <c r="T257" s="44">
        <v>3</v>
      </c>
      <c r="U257" s="44">
        <v>6</v>
      </c>
      <c r="V257" s="44">
        <v>4</v>
      </c>
      <c r="W257" s="44">
        <v>1</v>
      </c>
      <c r="X257" s="44">
        <v>2</v>
      </c>
      <c r="Y257" s="44">
        <v>0</v>
      </c>
      <c r="Z257" s="44">
        <v>0</v>
      </c>
      <c r="AA257" s="49">
        <f>SUM(T257:Z257)</f>
        <v>16</v>
      </c>
      <c r="AB257" s="41">
        <v>2022</v>
      </c>
      <c r="AC257" s="127"/>
      <c r="AD257" s="100"/>
      <c r="AE257" s="100"/>
    </row>
    <row r="258" spans="1:31" ht="15.6" hidden="1" customHeight="1" x14ac:dyDescent="0.2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164" t="s">
        <v>180</v>
      </c>
      <c r="S258" s="63" t="s">
        <v>0</v>
      </c>
      <c r="T258" s="1">
        <f>SUM(T259:T261)</f>
        <v>998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59">
        <f t="shared" ref="AA258:AA362" si="96">SUM(T258:Y258)</f>
        <v>998</v>
      </c>
      <c r="AB258" s="58">
        <v>2018</v>
      </c>
      <c r="AC258" s="87"/>
      <c r="AD258" s="100" t="e">
        <f>T259+T264+T269+T275+T281+T288+T306+T312+T317+T322+T327+T332+T351+T357+T364+T371+T378+T385+T392+T399+T406+T413+T419+T425+#REF!+#REF!+#REF!+#REF!+#REF!+#REF!+#REF!+#REF!+#REF!+#REF!+#REF!</f>
        <v>#REF!</v>
      </c>
      <c r="AE258" s="100"/>
    </row>
    <row r="259" spans="1:31" ht="15.6" hidden="1" customHeight="1" x14ac:dyDescent="0.25">
      <c r="A259" s="54" t="s">
        <v>18</v>
      </c>
      <c r="B259" s="54" t="s">
        <v>18</v>
      </c>
      <c r="C259" s="54" t="s">
        <v>22</v>
      </c>
      <c r="D259" s="54" t="s">
        <v>18</v>
      </c>
      <c r="E259" s="54" t="s">
        <v>21</v>
      </c>
      <c r="F259" s="54" t="s">
        <v>18</v>
      </c>
      <c r="G259" s="54" t="s">
        <v>22</v>
      </c>
      <c r="H259" s="54" t="s">
        <v>19</v>
      </c>
      <c r="I259" s="54" t="s">
        <v>24</v>
      </c>
      <c r="J259" s="54" t="s">
        <v>18</v>
      </c>
      <c r="K259" s="54" t="s">
        <v>18</v>
      </c>
      <c r="L259" s="54" t="s">
        <v>20</v>
      </c>
      <c r="M259" s="54" t="s">
        <v>19</v>
      </c>
      <c r="N259" s="54" t="s">
        <v>18</v>
      </c>
      <c r="O259" s="54" t="s">
        <v>24</v>
      </c>
      <c r="P259" s="54" t="s">
        <v>22</v>
      </c>
      <c r="Q259" s="54" t="s">
        <v>45</v>
      </c>
      <c r="R259" s="164"/>
      <c r="S259" s="63" t="s">
        <v>0</v>
      </c>
      <c r="T259" s="1">
        <v>399.2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59">
        <f t="shared" si="96"/>
        <v>399.2</v>
      </c>
      <c r="AB259" s="58">
        <v>2018</v>
      </c>
      <c r="AC259" s="9"/>
      <c r="AD259" s="100" t="e">
        <f>T260+T265+T270+T271+T276+T277+T282+T283+T289+T290+T308+T313+T318+T323+T328+T333+T353+T352+T360+T359+T367+T366+T374+T373+T381+T380+T388+T387+T395+T394+T401+T402+T408+T415+T421+T427+T428+#REF!+#REF!+#REF!+#REF!+#REF!+#REF!+#REF!+#REF!+#REF!+#REF!+#REF!+#REF!+#REF!+#REF!+#REF!+#REF!+#REF!+#REF!+#REF!+#REF!+#REF!+T409</f>
        <v>#REF!</v>
      </c>
      <c r="AE259" s="100"/>
    </row>
    <row r="260" spans="1:31" ht="15.6" hidden="1" customHeight="1" x14ac:dyDescent="0.25">
      <c r="A260" s="54" t="s">
        <v>18</v>
      </c>
      <c r="B260" s="54" t="s">
        <v>18</v>
      </c>
      <c r="C260" s="54" t="s">
        <v>22</v>
      </c>
      <c r="D260" s="54" t="s">
        <v>18</v>
      </c>
      <c r="E260" s="54" t="s">
        <v>21</v>
      </c>
      <c r="F260" s="54" t="s">
        <v>18</v>
      </c>
      <c r="G260" s="54" t="s">
        <v>22</v>
      </c>
      <c r="H260" s="54" t="s">
        <v>19</v>
      </c>
      <c r="I260" s="54" t="s">
        <v>24</v>
      </c>
      <c r="J260" s="54" t="s">
        <v>18</v>
      </c>
      <c r="K260" s="54" t="s">
        <v>18</v>
      </c>
      <c r="L260" s="54" t="s">
        <v>20</v>
      </c>
      <c r="M260" s="54" t="s">
        <v>37</v>
      </c>
      <c r="N260" s="54" t="s">
        <v>18</v>
      </c>
      <c r="O260" s="54" t="s">
        <v>24</v>
      </c>
      <c r="P260" s="54" t="s">
        <v>22</v>
      </c>
      <c r="Q260" s="54" t="s">
        <v>46</v>
      </c>
      <c r="R260" s="164"/>
      <c r="S260" s="63" t="s">
        <v>0</v>
      </c>
      <c r="T260" s="1">
        <v>199.6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6"/>
        <v>199.6</v>
      </c>
      <c r="AB260" s="58">
        <v>2018</v>
      </c>
      <c r="AC260" s="9"/>
      <c r="AD260" s="100" t="e">
        <f>T261+T266+T272+T278+T284+T291+T309+T314+T319+T324+T329+T334+T354+T361+T368+T375+T382+T389+T396+T403+T410+T416+T422+T429+#REF!+#REF!+#REF!+#REF!+#REF!+#REF!+#REF!+#REF!+#REF!+#REF!+#REF!</f>
        <v>#REF!</v>
      </c>
      <c r="AE260" s="100"/>
    </row>
    <row r="261" spans="1:31" ht="15.6" hidden="1" customHeight="1" x14ac:dyDescent="0.25">
      <c r="A261" s="54" t="s">
        <v>18</v>
      </c>
      <c r="B261" s="54" t="s">
        <v>18</v>
      </c>
      <c r="C261" s="54" t="s">
        <v>22</v>
      </c>
      <c r="D261" s="54" t="s">
        <v>18</v>
      </c>
      <c r="E261" s="54" t="s">
        <v>21</v>
      </c>
      <c r="F261" s="54" t="s">
        <v>18</v>
      </c>
      <c r="G261" s="54" t="s">
        <v>22</v>
      </c>
      <c r="H261" s="54" t="s">
        <v>19</v>
      </c>
      <c r="I261" s="54" t="s">
        <v>24</v>
      </c>
      <c r="J261" s="54" t="s">
        <v>18</v>
      </c>
      <c r="K261" s="54" t="s">
        <v>18</v>
      </c>
      <c r="L261" s="54" t="s">
        <v>20</v>
      </c>
      <c r="M261" s="54" t="s">
        <v>37</v>
      </c>
      <c r="N261" s="54" t="s">
        <v>18</v>
      </c>
      <c r="O261" s="54" t="s">
        <v>24</v>
      </c>
      <c r="P261" s="54" t="s">
        <v>22</v>
      </c>
      <c r="Q261" s="54" t="s">
        <v>39</v>
      </c>
      <c r="R261" s="164"/>
      <c r="S261" s="63" t="s">
        <v>0</v>
      </c>
      <c r="T261" s="1">
        <v>399.2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59">
        <f t="shared" si="96"/>
        <v>399.2</v>
      </c>
      <c r="AB261" s="58">
        <v>2018</v>
      </c>
      <c r="AC261" s="9"/>
      <c r="AD261" s="100">
        <f>T307+T358+T365+T372+T379+T386+T393+T400+T407+T414+T420+T426</f>
        <v>380</v>
      </c>
      <c r="AE261" s="100"/>
    </row>
    <row r="262" spans="1:31" ht="31.15" hidden="1" customHeight="1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80" t="s">
        <v>181</v>
      </c>
      <c r="S262" s="84" t="s">
        <v>167</v>
      </c>
      <c r="T262" s="3">
        <v>8750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6">
        <f t="shared" si="96"/>
        <v>8750</v>
      </c>
      <c r="AB262" s="41">
        <v>2018</v>
      </c>
      <c r="AC262" s="9"/>
      <c r="AD262" s="100" t="e">
        <f>SUM(AD258:AD261)</f>
        <v>#REF!</v>
      </c>
      <c r="AE262" s="100"/>
    </row>
    <row r="263" spans="1:31" ht="15.6" hidden="1" customHeight="1" x14ac:dyDescent="0.2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164" t="s">
        <v>182</v>
      </c>
      <c r="S263" s="63" t="s">
        <v>0</v>
      </c>
      <c r="T263" s="1">
        <f>SUM(T264:T266)</f>
        <v>150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6"/>
        <v>150</v>
      </c>
      <c r="AB263" s="58">
        <v>2018</v>
      </c>
      <c r="AC263" s="9"/>
      <c r="AD263" s="100"/>
      <c r="AE263" s="100"/>
    </row>
    <row r="264" spans="1:31" ht="15.6" hidden="1" customHeight="1" x14ac:dyDescent="0.25">
      <c r="A264" s="54" t="s">
        <v>18</v>
      </c>
      <c r="B264" s="54" t="s">
        <v>18</v>
      </c>
      <c r="C264" s="54" t="s">
        <v>22</v>
      </c>
      <c r="D264" s="54" t="s">
        <v>18</v>
      </c>
      <c r="E264" s="54" t="s">
        <v>21</v>
      </c>
      <c r="F264" s="54" t="s">
        <v>18</v>
      </c>
      <c r="G264" s="54" t="s">
        <v>22</v>
      </c>
      <c r="H264" s="54" t="s">
        <v>19</v>
      </c>
      <c r="I264" s="54" t="s">
        <v>24</v>
      </c>
      <c r="J264" s="54" t="s">
        <v>18</v>
      </c>
      <c r="K264" s="54" t="s">
        <v>18</v>
      </c>
      <c r="L264" s="54" t="s">
        <v>20</v>
      </c>
      <c r="M264" s="54" t="s">
        <v>19</v>
      </c>
      <c r="N264" s="54" t="s">
        <v>18</v>
      </c>
      <c r="O264" s="54" t="s">
        <v>24</v>
      </c>
      <c r="P264" s="54" t="s">
        <v>22</v>
      </c>
      <c r="Q264" s="54" t="s">
        <v>45</v>
      </c>
      <c r="R264" s="164"/>
      <c r="S264" s="63" t="s">
        <v>0</v>
      </c>
      <c r="T264" s="1">
        <v>60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59">
        <f t="shared" si="96"/>
        <v>60</v>
      </c>
      <c r="AB264" s="58">
        <v>2018</v>
      </c>
      <c r="AC264" s="9"/>
      <c r="AD264" s="100"/>
      <c r="AE264" s="100"/>
    </row>
    <row r="265" spans="1:31" ht="15.6" hidden="1" customHeight="1" x14ac:dyDescent="0.25">
      <c r="A265" s="54" t="s">
        <v>18</v>
      </c>
      <c r="B265" s="54" t="s">
        <v>18</v>
      </c>
      <c r="C265" s="54" t="s">
        <v>22</v>
      </c>
      <c r="D265" s="54" t="s">
        <v>18</v>
      </c>
      <c r="E265" s="54" t="s">
        <v>21</v>
      </c>
      <c r="F265" s="54" t="s">
        <v>18</v>
      </c>
      <c r="G265" s="54" t="s">
        <v>22</v>
      </c>
      <c r="H265" s="54" t="s">
        <v>19</v>
      </c>
      <c r="I265" s="54" t="s">
        <v>24</v>
      </c>
      <c r="J265" s="54" t="s">
        <v>18</v>
      </c>
      <c r="K265" s="54" t="s">
        <v>18</v>
      </c>
      <c r="L265" s="54" t="s">
        <v>20</v>
      </c>
      <c r="M265" s="54" t="s">
        <v>37</v>
      </c>
      <c r="N265" s="54" t="s">
        <v>18</v>
      </c>
      <c r="O265" s="54" t="s">
        <v>24</v>
      </c>
      <c r="P265" s="54" t="s">
        <v>22</v>
      </c>
      <c r="Q265" s="54" t="s">
        <v>46</v>
      </c>
      <c r="R265" s="164"/>
      <c r="S265" s="63" t="s">
        <v>0</v>
      </c>
      <c r="T265" s="1">
        <v>30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59">
        <f t="shared" si="96"/>
        <v>30</v>
      </c>
      <c r="AB265" s="58">
        <v>2018</v>
      </c>
      <c r="AC265" s="9"/>
      <c r="AD265" s="100"/>
      <c r="AE265" s="100"/>
    </row>
    <row r="266" spans="1:31" ht="15.6" hidden="1" customHeight="1" x14ac:dyDescent="0.25">
      <c r="A266" s="54" t="s">
        <v>18</v>
      </c>
      <c r="B266" s="54" t="s">
        <v>18</v>
      </c>
      <c r="C266" s="54" t="s">
        <v>22</v>
      </c>
      <c r="D266" s="54" t="s">
        <v>18</v>
      </c>
      <c r="E266" s="54" t="s">
        <v>21</v>
      </c>
      <c r="F266" s="54" t="s">
        <v>18</v>
      </c>
      <c r="G266" s="54" t="s">
        <v>22</v>
      </c>
      <c r="H266" s="54" t="s">
        <v>19</v>
      </c>
      <c r="I266" s="54" t="s">
        <v>24</v>
      </c>
      <c r="J266" s="54" t="s">
        <v>18</v>
      </c>
      <c r="K266" s="54" t="s">
        <v>18</v>
      </c>
      <c r="L266" s="54" t="s">
        <v>20</v>
      </c>
      <c r="M266" s="54" t="s">
        <v>37</v>
      </c>
      <c r="N266" s="54" t="s">
        <v>18</v>
      </c>
      <c r="O266" s="54" t="s">
        <v>24</v>
      </c>
      <c r="P266" s="54" t="s">
        <v>22</v>
      </c>
      <c r="Q266" s="54" t="s">
        <v>39</v>
      </c>
      <c r="R266" s="164"/>
      <c r="S266" s="63" t="s">
        <v>0</v>
      </c>
      <c r="T266" s="1">
        <v>60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59">
        <f t="shared" si="96"/>
        <v>60</v>
      </c>
      <c r="AB266" s="58">
        <v>2018</v>
      </c>
      <c r="AC266" s="9"/>
      <c r="AD266" s="100"/>
      <c r="AE266" s="100"/>
    </row>
    <row r="267" spans="1:31" ht="46.9" hidden="1" customHeight="1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80" t="s">
        <v>183</v>
      </c>
      <c r="S267" s="84" t="s">
        <v>50</v>
      </c>
      <c r="T267" s="44">
        <v>7</v>
      </c>
      <c r="U267" s="44">
        <v>0</v>
      </c>
      <c r="V267" s="44">
        <v>0</v>
      </c>
      <c r="W267" s="44">
        <v>0</v>
      </c>
      <c r="X267" s="44">
        <v>0</v>
      </c>
      <c r="Y267" s="44">
        <v>0</v>
      </c>
      <c r="Z267" s="44">
        <v>0</v>
      </c>
      <c r="AA267" s="49">
        <f t="shared" si="96"/>
        <v>7</v>
      </c>
      <c r="AB267" s="41">
        <v>2018</v>
      </c>
      <c r="AC267" s="9"/>
      <c r="AD267" s="100"/>
      <c r="AE267" s="100"/>
    </row>
    <row r="268" spans="1:31" ht="15.6" hidden="1" customHeight="1" x14ac:dyDescent="0.25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164" t="s">
        <v>184</v>
      </c>
      <c r="S268" s="63" t="s">
        <v>0</v>
      </c>
      <c r="T268" s="1">
        <f>SUM(T269:T272)</f>
        <v>1031.5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6"/>
        <v>1031.5</v>
      </c>
      <c r="AB268" s="58">
        <v>2018</v>
      </c>
      <c r="AC268" s="9"/>
      <c r="AD268" s="100"/>
      <c r="AE268" s="100"/>
    </row>
    <row r="269" spans="1:31" ht="15.6" hidden="1" customHeight="1" x14ac:dyDescent="0.25">
      <c r="A269" s="54" t="s">
        <v>18</v>
      </c>
      <c r="B269" s="54" t="s">
        <v>18</v>
      </c>
      <c r="C269" s="54" t="s">
        <v>22</v>
      </c>
      <c r="D269" s="54" t="s">
        <v>18</v>
      </c>
      <c r="E269" s="54" t="s">
        <v>21</v>
      </c>
      <c r="F269" s="54" t="s">
        <v>18</v>
      </c>
      <c r="G269" s="54" t="s">
        <v>22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19</v>
      </c>
      <c r="N269" s="54" t="s">
        <v>18</v>
      </c>
      <c r="O269" s="54" t="s">
        <v>24</v>
      </c>
      <c r="P269" s="54" t="s">
        <v>22</v>
      </c>
      <c r="Q269" s="54" t="s">
        <v>45</v>
      </c>
      <c r="R269" s="164"/>
      <c r="S269" s="63" t="s">
        <v>0</v>
      </c>
      <c r="T269" s="1">
        <v>400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6"/>
        <v>400</v>
      </c>
      <c r="AB269" s="58">
        <v>2018</v>
      </c>
      <c r="AC269" s="9"/>
      <c r="AD269" s="100"/>
      <c r="AE269" s="100"/>
    </row>
    <row r="270" spans="1:31" ht="15.6" hidden="1" customHeight="1" x14ac:dyDescent="0.25">
      <c r="A270" s="54" t="s">
        <v>18</v>
      </c>
      <c r="B270" s="54" t="s">
        <v>18</v>
      </c>
      <c r="C270" s="54" t="s">
        <v>22</v>
      </c>
      <c r="D270" s="54" t="s">
        <v>18</v>
      </c>
      <c r="E270" s="54" t="s">
        <v>21</v>
      </c>
      <c r="F270" s="54" t="s">
        <v>18</v>
      </c>
      <c r="G270" s="54" t="s">
        <v>22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37</v>
      </c>
      <c r="N270" s="54" t="s">
        <v>18</v>
      </c>
      <c r="O270" s="54" t="s">
        <v>24</v>
      </c>
      <c r="P270" s="54" t="s">
        <v>22</v>
      </c>
      <c r="Q270" s="54" t="s">
        <v>46</v>
      </c>
      <c r="R270" s="164"/>
      <c r="S270" s="63" t="s">
        <v>0</v>
      </c>
      <c r="T270" s="1">
        <v>2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59">
        <f t="shared" si="96"/>
        <v>2</v>
      </c>
      <c r="AB270" s="58">
        <v>2018</v>
      </c>
      <c r="AC270" s="9"/>
      <c r="AD270" s="100"/>
      <c r="AE270" s="100"/>
    </row>
    <row r="271" spans="1:31" ht="15.6" hidden="1" customHeight="1" x14ac:dyDescent="0.25">
      <c r="A271" s="54" t="s">
        <v>18</v>
      </c>
      <c r="B271" s="54" t="s">
        <v>18</v>
      </c>
      <c r="C271" s="54" t="s">
        <v>22</v>
      </c>
      <c r="D271" s="54" t="s">
        <v>18</v>
      </c>
      <c r="E271" s="54" t="s">
        <v>21</v>
      </c>
      <c r="F271" s="54" t="s">
        <v>18</v>
      </c>
      <c r="G271" s="54" t="s">
        <v>22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46</v>
      </c>
      <c r="R271" s="164"/>
      <c r="S271" s="63" t="s">
        <v>0</v>
      </c>
      <c r="T271" s="1">
        <v>229.5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59">
        <f t="shared" si="96"/>
        <v>229.5</v>
      </c>
      <c r="AB271" s="58">
        <v>2018</v>
      </c>
      <c r="AC271" s="9"/>
      <c r="AD271" s="100"/>
      <c r="AE271" s="100"/>
    </row>
    <row r="272" spans="1:31" ht="15.6" hidden="1" customHeight="1" x14ac:dyDescent="0.25">
      <c r="A272" s="54" t="s">
        <v>18</v>
      </c>
      <c r="B272" s="54" t="s">
        <v>18</v>
      </c>
      <c r="C272" s="54" t="s">
        <v>22</v>
      </c>
      <c r="D272" s="54" t="s">
        <v>18</v>
      </c>
      <c r="E272" s="54" t="s">
        <v>21</v>
      </c>
      <c r="F272" s="54" t="s">
        <v>18</v>
      </c>
      <c r="G272" s="54" t="s">
        <v>22</v>
      </c>
      <c r="H272" s="54" t="s">
        <v>19</v>
      </c>
      <c r="I272" s="54" t="s">
        <v>24</v>
      </c>
      <c r="J272" s="54" t="s">
        <v>18</v>
      </c>
      <c r="K272" s="54" t="s">
        <v>18</v>
      </c>
      <c r="L272" s="54" t="s">
        <v>20</v>
      </c>
      <c r="M272" s="54" t="s">
        <v>37</v>
      </c>
      <c r="N272" s="54" t="s">
        <v>18</v>
      </c>
      <c r="O272" s="54" t="s">
        <v>24</v>
      </c>
      <c r="P272" s="54" t="s">
        <v>22</v>
      </c>
      <c r="Q272" s="54" t="s">
        <v>39</v>
      </c>
      <c r="R272" s="164"/>
      <c r="S272" s="63" t="s">
        <v>0</v>
      </c>
      <c r="T272" s="1">
        <v>400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59">
        <f t="shared" si="96"/>
        <v>400</v>
      </c>
      <c r="AB272" s="58">
        <v>2018</v>
      </c>
      <c r="AC272" s="9"/>
      <c r="AD272" s="100"/>
      <c r="AE272" s="100"/>
    </row>
    <row r="273" spans="1:31" ht="45.6" hidden="1" customHeight="1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80" t="s">
        <v>185</v>
      </c>
      <c r="S273" s="84" t="s">
        <v>50</v>
      </c>
      <c r="T273" s="44">
        <v>44</v>
      </c>
      <c r="U273" s="44">
        <v>0</v>
      </c>
      <c r="V273" s="44">
        <v>0</v>
      </c>
      <c r="W273" s="44">
        <v>0</v>
      </c>
      <c r="X273" s="44">
        <v>0</v>
      </c>
      <c r="Y273" s="44">
        <v>0</v>
      </c>
      <c r="Z273" s="44">
        <v>0</v>
      </c>
      <c r="AA273" s="49">
        <f t="shared" si="96"/>
        <v>44</v>
      </c>
      <c r="AB273" s="41">
        <v>2018</v>
      </c>
      <c r="AC273" s="9"/>
      <c r="AD273" s="100"/>
      <c r="AE273" s="100"/>
    </row>
    <row r="274" spans="1:31" ht="15.6" hidden="1" customHeight="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164" t="s">
        <v>186</v>
      </c>
      <c r="S274" s="63" t="s">
        <v>0</v>
      </c>
      <c r="T274" s="1">
        <f>SUM(T275:T278)</f>
        <v>613.5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si="96"/>
        <v>613.5</v>
      </c>
      <c r="AB274" s="58">
        <v>2018</v>
      </c>
      <c r="AC274" s="9"/>
      <c r="AD274" s="100"/>
      <c r="AE274" s="100"/>
    </row>
    <row r="275" spans="1:31" ht="15.6" hidden="1" customHeight="1" x14ac:dyDescent="0.25">
      <c r="A275" s="54" t="s">
        <v>18</v>
      </c>
      <c r="B275" s="54" t="s">
        <v>18</v>
      </c>
      <c r="C275" s="54" t="s">
        <v>22</v>
      </c>
      <c r="D275" s="54" t="s">
        <v>18</v>
      </c>
      <c r="E275" s="54" t="s">
        <v>21</v>
      </c>
      <c r="F275" s="54" t="s">
        <v>18</v>
      </c>
      <c r="G275" s="54" t="s">
        <v>22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19</v>
      </c>
      <c r="N275" s="54" t="s">
        <v>18</v>
      </c>
      <c r="O275" s="54" t="s">
        <v>24</v>
      </c>
      <c r="P275" s="54" t="s">
        <v>22</v>
      </c>
      <c r="Q275" s="54" t="s">
        <v>45</v>
      </c>
      <c r="R275" s="164"/>
      <c r="S275" s="63" t="s">
        <v>0</v>
      </c>
      <c r="T275" s="1">
        <v>245.4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6"/>
        <v>245.4</v>
      </c>
      <c r="AB275" s="58">
        <v>2018</v>
      </c>
      <c r="AC275" s="9"/>
      <c r="AD275" s="100"/>
      <c r="AE275" s="100"/>
    </row>
    <row r="276" spans="1:31" ht="15.6" hidden="1" customHeight="1" x14ac:dyDescent="0.25">
      <c r="A276" s="54" t="s">
        <v>18</v>
      </c>
      <c r="B276" s="54" t="s">
        <v>18</v>
      </c>
      <c r="C276" s="54" t="s">
        <v>22</v>
      </c>
      <c r="D276" s="54" t="s">
        <v>18</v>
      </c>
      <c r="E276" s="54" t="s">
        <v>21</v>
      </c>
      <c r="F276" s="54" t="s">
        <v>18</v>
      </c>
      <c r="G276" s="54" t="s">
        <v>22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24</v>
      </c>
      <c r="P276" s="54" t="s">
        <v>22</v>
      </c>
      <c r="Q276" s="54" t="s">
        <v>46</v>
      </c>
      <c r="R276" s="164"/>
      <c r="S276" s="63" t="s">
        <v>0</v>
      </c>
      <c r="T276" s="1">
        <v>60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6"/>
        <v>60</v>
      </c>
      <c r="AB276" s="58">
        <v>2018</v>
      </c>
      <c r="AC276" s="9"/>
      <c r="AD276" s="100"/>
      <c r="AE276" s="100"/>
    </row>
    <row r="277" spans="1:31" ht="15.6" hidden="1" customHeight="1" x14ac:dyDescent="0.25">
      <c r="A277" s="54" t="s">
        <v>18</v>
      </c>
      <c r="B277" s="54" t="s">
        <v>18</v>
      </c>
      <c r="C277" s="54" t="s">
        <v>22</v>
      </c>
      <c r="D277" s="54" t="s">
        <v>18</v>
      </c>
      <c r="E277" s="54" t="s">
        <v>21</v>
      </c>
      <c r="F277" s="54" t="s">
        <v>18</v>
      </c>
      <c r="G277" s="54" t="s">
        <v>22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46</v>
      </c>
      <c r="R277" s="164"/>
      <c r="S277" s="63" t="s">
        <v>0</v>
      </c>
      <c r="T277" s="1">
        <v>62.7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6"/>
        <v>62.7</v>
      </c>
      <c r="AB277" s="58">
        <v>2018</v>
      </c>
      <c r="AC277" s="9"/>
      <c r="AD277" s="100"/>
      <c r="AE277" s="100"/>
    </row>
    <row r="278" spans="1:31" ht="15.6" hidden="1" customHeight="1" x14ac:dyDescent="0.25">
      <c r="A278" s="54" t="s">
        <v>18</v>
      </c>
      <c r="B278" s="54" t="s">
        <v>18</v>
      </c>
      <c r="C278" s="54" t="s">
        <v>22</v>
      </c>
      <c r="D278" s="54" t="s">
        <v>18</v>
      </c>
      <c r="E278" s="54" t="s">
        <v>21</v>
      </c>
      <c r="F278" s="54" t="s">
        <v>18</v>
      </c>
      <c r="G278" s="54" t="s">
        <v>22</v>
      </c>
      <c r="H278" s="54" t="s">
        <v>19</v>
      </c>
      <c r="I278" s="54" t="s">
        <v>24</v>
      </c>
      <c r="J278" s="54" t="s">
        <v>18</v>
      </c>
      <c r="K278" s="54" t="s">
        <v>18</v>
      </c>
      <c r="L278" s="54" t="s">
        <v>20</v>
      </c>
      <c r="M278" s="54" t="s">
        <v>37</v>
      </c>
      <c r="N278" s="54" t="s">
        <v>18</v>
      </c>
      <c r="O278" s="54" t="s">
        <v>24</v>
      </c>
      <c r="P278" s="54" t="s">
        <v>22</v>
      </c>
      <c r="Q278" s="54" t="s">
        <v>39</v>
      </c>
      <c r="R278" s="164"/>
      <c r="S278" s="63" t="s">
        <v>0</v>
      </c>
      <c r="T278" s="1">
        <v>245.4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59">
        <f t="shared" si="96"/>
        <v>245.4</v>
      </c>
      <c r="AB278" s="58">
        <v>2018</v>
      </c>
      <c r="AC278" s="9"/>
      <c r="AD278" s="100"/>
      <c r="AE278" s="100"/>
    </row>
    <row r="279" spans="1:31" ht="46.9" hidden="1" customHeight="1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80" t="s">
        <v>187</v>
      </c>
      <c r="S279" s="84" t="s">
        <v>50</v>
      </c>
      <c r="T279" s="44">
        <v>26</v>
      </c>
      <c r="U279" s="44">
        <v>0</v>
      </c>
      <c r="V279" s="44">
        <v>0</v>
      </c>
      <c r="W279" s="44">
        <v>0</v>
      </c>
      <c r="X279" s="44">
        <v>0</v>
      </c>
      <c r="Y279" s="44">
        <v>0</v>
      </c>
      <c r="Z279" s="44">
        <v>0</v>
      </c>
      <c r="AA279" s="49">
        <f t="shared" si="96"/>
        <v>26</v>
      </c>
      <c r="AB279" s="41">
        <v>2018</v>
      </c>
      <c r="AC279" s="9"/>
      <c r="AD279" s="100"/>
      <c r="AE279" s="100"/>
    </row>
    <row r="280" spans="1:31" ht="15.6" hidden="1" customHeight="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164" t="s">
        <v>188</v>
      </c>
      <c r="S280" s="63" t="s">
        <v>0</v>
      </c>
      <c r="T280" s="1">
        <f>SUM(T281:T284)</f>
        <v>194.7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59">
        <f t="shared" si="96"/>
        <v>194.7</v>
      </c>
      <c r="AB280" s="58">
        <v>2018</v>
      </c>
      <c r="AC280" s="9"/>
      <c r="AD280" s="100"/>
      <c r="AE280" s="100"/>
    </row>
    <row r="281" spans="1:31" ht="15.6" hidden="1" customHeight="1" x14ac:dyDescent="0.25">
      <c r="A281" s="54" t="s">
        <v>18</v>
      </c>
      <c r="B281" s="54" t="s">
        <v>18</v>
      </c>
      <c r="C281" s="54" t="s">
        <v>22</v>
      </c>
      <c r="D281" s="54" t="s">
        <v>18</v>
      </c>
      <c r="E281" s="54" t="s">
        <v>21</v>
      </c>
      <c r="F281" s="54" t="s">
        <v>18</v>
      </c>
      <c r="G281" s="54" t="s">
        <v>22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19</v>
      </c>
      <c r="N281" s="54" t="s">
        <v>18</v>
      </c>
      <c r="O281" s="54" t="s">
        <v>24</v>
      </c>
      <c r="P281" s="54" t="s">
        <v>22</v>
      </c>
      <c r="Q281" s="54" t="s">
        <v>45</v>
      </c>
      <c r="R281" s="164"/>
      <c r="S281" s="63" t="s">
        <v>0</v>
      </c>
      <c r="T281" s="1">
        <v>77.3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59">
        <f t="shared" si="96"/>
        <v>77.3</v>
      </c>
      <c r="AB281" s="58">
        <v>2018</v>
      </c>
      <c r="AC281" s="9"/>
      <c r="AD281" s="100"/>
      <c r="AE281" s="100"/>
    </row>
    <row r="282" spans="1:31" ht="15.6" hidden="1" customHeight="1" x14ac:dyDescent="0.25">
      <c r="A282" s="54" t="s">
        <v>18</v>
      </c>
      <c r="B282" s="54" t="s">
        <v>18</v>
      </c>
      <c r="C282" s="54" t="s">
        <v>22</v>
      </c>
      <c r="D282" s="54" t="s">
        <v>18</v>
      </c>
      <c r="E282" s="54" t="s">
        <v>21</v>
      </c>
      <c r="F282" s="54" t="s">
        <v>18</v>
      </c>
      <c r="G282" s="54" t="s">
        <v>22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18</v>
      </c>
      <c r="O282" s="54" t="s">
        <v>24</v>
      </c>
      <c r="P282" s="54" t="s">
        <v>22</v>
      </c>
      <c r="Q282" s="54" t="s">
        <v>46</v>
      </c>
      <c r="R282" s="164"/>
      <c r="S282" s="63" t="s">
        <v>0</v>
      </c>
      <c r="T282" s="1">
        <v>20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59">
        <f t="shared" si="96"/>
        <v>20</v>
      </c>
      <c r="AB282" s="58">
        <v>2018</v>
      </c>
      <c r="AC282" s="9"/>
      <c r="AD282" s="100"/>
      <c r="AE282" s="100"/>
    </row>
    <row r="283" spans="1:31" ht="15.6" hidden="1" customHeight="1" x14ac:dyDescent="0.25">
      <c r="A283" s="54" t="s">
        <v>18</v>
      </c>
      <c r="B283" s="54" t="s">
        <v>18</v>
      </c>
      <c r="C283" s="54" t="s">
        <v>22</v>
      </c>
      <c r="D283" s="54" t="s">
        <v>18</v>
      </c>
      <c r="E283" s="54" t="s">
        <v>21</v>
      </c>
      <c r="F283" s="54" t="s">
        <v>18</v>
      </c>
      <c r="G283" s="54" t="s">
        <v>22</v>
      </c>
      <c r="H283" s="54" t="s">
        <v>19</v>
      </c>
      <c r="I283" s="54" t="s">
        <v>24</v>
      </c>
      <c r="J283" s="54" t="s">
        <v>18</v>
      </c>
      <c r="K283" s="54" t="s">
        <v>18</v>
      </c>
      <c r="L283" s="54" t="s">
        <v>20</v>
      </c>
      <c r="M283" s="54" t="s">
        <v>37</v>
      </c>
      <c r="N283" s="54" t="s">
        <v>18</v>
      </c>
      <c r="O283" s="54" t="s">
        <v>24</v>
      </c>
      <c r="P283" s="54" t="s">
        <v>22</v>
      </c>
      <c r="Q283" s="54" t="s">
        <v>46</v>
      </c>
      <c r="R283" s="164"/>
      <c r="S283" s="63" t="s">
        <v>0</v>
      </c>
      <c r="T283" s="1">
        <v>19.5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59">
        <f t="shared" si="96"/>
        <v>19.5</v>
      </c>
      <c r="AB283" s="58">
        <v>2018</v>
      </c>
      <c r="AC283" s="9"/>
      <c r="AD283" s="100"/>
      <c r="AE283" s="100"/>
    </row>
    <row r="284" spans="1:31" ht="15.6" hidden="1" customHeight="1" x14ac:dyDescent="0.25">
      <c r="A284" s="54" t="s">
        <v>18</v>
      </c>
      <c r="B284" s="54" t="s">
        <v>18</v>
      </c>
      <c r="C284" s="54" t="s">
        <v>22</v>
      </c>
      <c r="D284" s="54" t="s">
        <v>18</v>
      </c>
      <c r="E284" s="54" t="s">
        <v>21</v>
      </c>
      <c r="F284" s="54" t="s">
        <v>18</v>
      </c>
      <c r="G284" s="54" t="s">
        <v>22</v>
      </c>
      <c r="H284" s="54" t="s">
        <v>19</v>
      </c>
      <c r="I284" s="54" t="s">
        <v>24</v>
      </c>
      <c r="J284" s="54" t="s">
        <v>18</v>
      </c>
      <c r="K284" s="54" t="s">
        <v>18</v>
      </c>
      <c r="L284" s="54" t="s">
        <v>20</v>
      </c>
      <c r="M284" s="54" t="s">
        <v>37</v>
      </c>
      <c r="N284" s="54" t="s">
        <v>18</v>
      </c>
      <c r="O284" s="54" t="s">
        <v>24</v>
      </c>
      <c r="P284" s="54" t="s">
        <v>22</v>
      </c>
      <c r="Q284" s="54" t="s">
        <v>39</v>
      </c>
      <c r="R284" s="164"/>
      <c r="S284" s="63" t="s">
        <v>0</v>
      </c>
      <c r="T284" s="1">
        <v>77.900000000000006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59">
        <f t="shared" si="96"/>
        <v>77.900000000000006</v>
      </c>
      <c r="AB284" s="58">
        <v>2018</v>
      </c>
      <c r="AC284" s="9"/>
      <c r="AD284" s="100"/>
      <c r="AE284" s="100"/>
    </row>
    <row r="285" spans="1:31" s="72" customFormat="1" ht="31.15" hidden="1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80" t="s">
        <v>189</v>
      </c>
      <c r="S285" s="52" t="s">
        <v>50</v>
      </c>
      <c r="T285" s="44">
        <v>1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  <c r="Z285" s="44">
        <v>0</v>
      </c>
      <c r="AA285" s="49">
        <f t="shared" si="96"/>
        <v>1</v>
      </c>
      <c r="AB285" s="41">
        <v>2018</v>
      </c>
      <c r="AC285" s="70"/>
      <c r="AD285" s="85"/>
      <c r="AE285" s="85"/>
    </row>
    <row r="286" spans="1:31" ht="31.15" hidden="1" customHeight="1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80" t="s">
        <v>190</v>
      </c>
      <c r="S286" s="84" t="s">
        <v>168</v>
      </c>
      <c r="T286" s="3">
        <v>15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6">
        <f t="shared" si="96"/>
        <v>15</v>
      </c>
      <c r="AB286" s="41">
        <v>2018</v>
      </c>
      <c r="AC286" s="9"/>
      <c r="AD286" s="100"/>
      <c r="AE286" s="100"/>
    </row>
    <row r="287" spans="1:31" ht="15.6" hidden="1" customHeight="1" x14ac:dyDescent="0.25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164" t="s">
        <v>191</v>
      </c>
      <c r="S287" s="63" t="s">
        <v>0</v>
      </c>
      <c r="T287" s="1">
        <f>SUM(T288:T291)</f>
        <v>119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96"/>
        <v>119</v>
      </c>
      <c r="AB287" s="58">
        <v>2018</v>
      </c>
      <c r="AC287" s="9"/>
      <c r="AD287" s="100"/>
      <c r="AE287" s="100"/>
    </row>
    <row r="288" spans="1:31" ht="15.6" hidden="1" customHeight="1" x14ac:dyDescent="0.25">
      <c r="A288" s="54" t="s">
        <v>18</v>
      </c>
      <c r="B288" s="54" t="s">
        <v>18</v>
      </c>
      <c r="C288" s="54" t="s">
        <v>22</v>
      </c>
      <c r="D288" s="54" t="s">
        <v>18</v>
      </c>
      <c r="E288" s="54" t="s">
        <v>24</v>
      </c>
      <c r="F288" s="54" t="s">
        <v>18</v>
      </c>
      <c r="G288" s="54" t="s">
        <v>43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19</v>
      </c>
      <c r="N288" s="54" t="s">
        <v>18</v>
      </c>
      <c r="O288" s="54" t="s">
        <v>24</v>
      </c>
      <c r="P288" s="54" t="s">
        <v>22</v>
      </c>
      <c r="Q288" s="54" t="s">
        <v>45</v>
      </c>
      <c r="R288" s="164"/>
      <c r="S288" s="63" t="s">
        <v>0</v>
      </c>
      <c r="T288" s="1">
        <v>47.6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96"/>
        <v>47.6</v>
      </c>
      <c r="AB288" s="58">
        <v>2018</v>
      </c>
      <c r="AC288" s="9"/>
      <c r="AD288" s="100"/>
      <c r="AE288" s="100"/>
    </row>
    <row r="289" spans="1:31" ht="15.6" hidden="1" customHeight="1" x14ac:dyDescent="0.25">
      <c r="A289" s="54" t="s">
        <v>18</v>
      </c>
      <c r="B289" s="54" t="s">
        <v>18</v>
      </c>
      <c r="C289" s="54" t="s">
        <v>22</v>
      </c>
      <c r="D289" s="54" t="s">
        <v>18</v>
      </c>
      <c r="E289" s="54" t="s">
        <v>24</v>
      </c>
      <c r="F289" s="54" t="s">
        <v>18</v>
      </c>
      <c r="G289" s="54" t="s">
        <v>43</v>
      </c>
      <c r="H289" s="54" t="s">
        <v>19</v>
      </c>
      <c r="I289" s="54" t="s">
        <v>24</v>
      </c>
      <c r="J289" s="54" t="s">
        <v>18</v>
      </c>
      <c r="K289" s="54" t="s">
        <v>18</v>
      </c>
      <c r="L289" s="54" t="s">
        <v>20</v>
      </c>
      <c r="M289" s="54" t="s">
        <v>37</v>
      </c>
      <c r="N289" s="54" t="s">
        <v>18</v>
      </c>
      <c r="O289" s="54" t="s">
        <v>24</v>
      </c>
      <c r="P289" s="54" t="s">
        <v>22</v>
      </c>
      <c r="Q289" s="54" t="s">
        <v>46</v>
      </c>
      <c r="R289" s="164"/>
      <c r="S289" s="63" t="s">
        <v>0</v>
      </c>
      <c r="T289" s="1">
        <v>11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59">
        <f t="shared" si="96"/>
        <v>11</v>
      </c>
      <c r="AB289" s="58">
        <v>2018</v>
      </c>
      <c r="AC289" s="9"/>
      <c r="AD289" s="100"/>
      <c r="AE289" s="100"/>
    </row>
    <row r="290" spans="1:31" ht="15.6" hidden="1" customHeight="1" x14ac:dyDescent="0.25">
      <c r="A290" s="54" t="s">
        <v>18</v>
      </c>
      <c r="B290" s="54" t="s">
        <v>18</v>
      </c>
      <c r="C290" s="54" t="s">
        <v>22</v>
      </c>
      <c r="D290" s="54" t="s">
        <v>18</v>
      </c>
      <c r="E290" s="54" t="s">
        <v>24</v>
      </c>
      <c r="F290" s="54" t="s">
        <v>18</v>
      </c>
      <c r="G290" s="54" t="s">
        <v>43</v>
      </c>
      <c r="H290" s="54" t="s">
        <v>19</v>
      </c>
      <c r="I290" s="54" t="s">
        <v>24</v>
      </c>
      <c r="J290" s="54" t="s">
        <v>18</v>
      </c>
      <c r="K290" s="54" t="s">
        <v>18</v>
      </c>
      <c r="L290" s="54" t="s">
        <v>20</v>
      </c>
      <c r="M290" s="54" t="s">
        <v>37</v>
      </c>
      <c r="N290" s="54" t="s">
        <v>18</v>
      </c>
      <c r="O290" s="54" t="s">
        <v>24</v>
      </c>
      <c r="P290" s="54" t="s">
        <v>22</v>
      </c>
      <c r="Q290" s="54" t="s">
        <v>46</v>
      </c>
      <c r="R290" s="164"/>
      <c r="S290" s="63" t="s">
        <v>0</v>
      </c>
      <c r="T290" s="1">
        <v>12.8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59">
        <f t="shared" si="96"/>
        <v>12.8</v>
      </c>
      <c r="AB290" s="58">
        <v>2018</v>
      </c>
      <c r="AC290" s="9"/>
      <c r="AD290" s="100"/>
      <c r="AE290" s="100"/>
    </row>
    <row r="291" spans="1:31" ht="15.6" hidden="1" customHeight="1" x14ac:dyDescent="0.25">
      <c r="A291" s="54" t="s">
        <v>18</v>
      </c>
      <c r="B291" s="54" t="s">
        <v>18</v>
      </c>
      <c r="C291" s="54" t="s">
        <v>22</v>
      </c>
      <c r="D291" s="54" t="s">
        <v>18</v>
      </c>
      <c r="E291" s="54" t="s">
        <v>24</v>
      </c>
      <c r="F291" s="54" t="s">
        <v>18</v>
      </c>
      <c r="G291" s="54" t="s">
        <v>43</v>
      </c>
      <c r="H291" s="54" t="s">
        <v>19</v>
      </c>
      <c r="I291" s="54" t="s">
        <v>24</v>
      </c>
      <c r="J291" s="54" t="s">
        <v>18</v>
      </c>
      <c r="K291" s="54" t="s">
        <v>18</v>
      </c>
      <c r="L291" s="54" t="s">
        <v>20</v>
      </c>
      <c r="M291" s="54" t="s">
        <v>37</v>
      </c>
      <c r="N291" s="54" t="s">
        <v>18</v>
      </c>
      <c r="O291" s="54" t="s">
        <v>24</v>
      </c>
      <c r="P291" s="54" t="s">
        <v>22</v>
      </c>
      <c r="Q291" s="54" t="s">
        <v>39</v>
      </c>
      <c r="R291" s="164"/>
      <c r="S291" s="63" t="s">
        <v>0</v>
      </c>
      <c r="T291" s="1">
        <v>47.6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59">
        <f t="shared" si="96"/>
        <v>47.6</v>
      </c>
      <c r="AB291" s="58">
        <v>2018</v>
      </c>
      <c r="AC291" s="9"/>
      <c r="AD291" s="100"/>
      <c r="AE291" s="100"/>
    </row>
    <row r="292" spans="1:31" s="72" customFormat="1" ht="46.9" hidden="1" customHeight="1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78" t="s">
        <v>192</v>
      </c>
      <c r="S292" s="89" t="s">
        <v>167</v>
      </c>
      <c r="T292" s="3">
        <v>65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49">
        <f t="shared" si="96"/>
        <v>65</v>
      </c>
      <c r="AB292" s="41">
        <v>2018</v>
      </c>
      <c r="AC292" s="70"/>
      <c r="AD292" s="85"/>
      <c r="AE292" s="85"/>
    </row>
    <row r="293" spans="1:31" ht="15.6" customHeight="1" x14ac:dyDescent="0.25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18</v>
      </c>
      <c r="F293" s="54" t="s">
        <v>18</v>
      </c>
      <c r="G293" s="54" t="s">
        <v>18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18</v>
      </c>
      <c r="N293" s="54" t="s">
        <v>18</v>
      </c>
      <c r="O293" s="54" t="s">
        <v>18</v>
      </c>
      <c r="P293" s="54" t="s">
        <v>18</v>
      </c>
      <c r="Q293" s="54" t="s">
        <v>18</v>
      </c>
      <c r="R293" s="158" t="s">
        <v>133</v>
      </c>
      <c r="S293" s="161" t="s">
        <v>0</v>
      </c>
      <c r="T293" s="59">
        <f>SUM(T294:T297)</f>
        <v>3440.1</v>
      </c>
      <c r="U293" s="59">
        <f>SUM(U296:U299)</f>
        <v>3636.2999999999997</v>
      </c>
      <c r="V293" s="59">
        <f>SUM(V294:V299)</f>
        <v>1375.3</v>
      </c>
      <c r="W293" s="59">
        <f>SUM(W294:W302)</f>
        <v>7141.3</v>
      </c>
      <c r="X293" s="59">
        <f t="shared" ref="X293:Z293" si="97">SUM(X294:X302)</f>
        <v>909.7</v>
      </c>
      <c r="Y293" s="59">
        <f t="shared" si="97"/>
        <v>0</v>
      </c>
      <c r="Z293" s="59">
        <f t="shared" si="97"/>
        <v>0</v>
      </c>
      <c r="AA293" s="59">
        <f>SUM(T293:Z293)</f>
        <v>16502.7</v>
      </c>
      <c r="AB293" s="58">
        <v>2022</v>
      </c>
      <c r="AC293" s="123"/>
      <c r="AD293" s="100"/>
      <c r="AE293" s="100"/>
    </row>
    <row r="294" spans="1:31" x14ac:dyDescent="0.25">
      <c r="A294" s="54" t="s">
        <v>18</v>
      </c>
      <c r="B294" s="54" t="s">
        <v>18</v>
      </c>
      <c r="C294" s="54" t="s">
        <v>24</v>
      </c>
      <c r="D294" s="54" t="s">
        <v>18</v>
      </c>
      <c r="E294" s="54" t="s">
        <v>18</v>
      </c>
      <c r="F294" s="54" t="s">
        <v>18</v>
      </c>
      <c r="G294" s="54" t="s">
        <v>18</v>
      </c>
      <c r="H294" s="54" t="s">
        <v>19</v>
      </c>
      <c r="I294" s="54" t="s">
        <v>24</v>
      </c>
      <c r="J294" s="54" t="s">
        <v>18</v>
      </c>
      <c r="K294" s="54" t="s">
        <v>18</v>
      </c>
      <c r="L294" s="54" t="s">
        <v>20</v>
      </c>
      <c r="M294" s="54" t="s">
        <v>19</v>
      </c>
      <c r="N294" s="54" t="s">
        <v>18</v>
      </c>
      <c r="O294" s="54" t="s">
        <v>24</v>
      </c>
      <c r="P294" s="54" t="s">
        <v>22</v>
      </c>
      <c r="Q294" s="54" t="s">
        <v>45</v>
      </c>
      <c r="R294" s="159"/>
      <c r="S294" s="162"/>
      <c r="T294" s="1">
        <f>T306+T312+T317+T322+T327+T332</f>
        <v>1609.7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59">
        <f t="shared" ref="AA294:AA302" si="98">SUM(T294:Z294)</f>
        <v>1609.7</v>
      </c>
      <c r="AB294" s="58">
        <v>2018</v>
      </c>
      <c r="AC294" s="123"/>
      <c r="AD294" s="100"/>
      <c r="AE294" s="100"/>
    </row>
    <row r="295" spans="1:31" ht="15.6" hidden="1" customHeight="1" x14ac:dyDescent="0.25">
      <c r="A295" s="54" t="s">
        <v>18</v>
      </c>
      <c r="B295" s="54" t="s">
        <v>18</v>
      </c>
      <c r="C295" s="54" t="s">
        <v>24</v>
      </c>
      <c r="D295" s="54" t="s">
        <v>18</v>
      </c>
      <c r="E295" s="54" t="s">
        <v>18</v>
      </c>
      <c r="F295" s="54" t="s">
        <v>18</v>
      </c>
      <c r="G295" s="54" t="s">
        <v>18</v>
      </c>
      <c r="H295" s="54" t="s">
        <v>19</v>
      </c>
      <c r="I295" s="54" t="s">
        <v>24</v>
      </c>
      <c r="J295" s="54" t="s">
        <v>18</v>
      </c>
      <c r="K295" s="54" t="s">
        <v>18</v>
      </c>
      <c r="L295" s="54" t="s">
        <v>20</v>
      </c>
      <c r="M295" s="54" t="s">
        <v>37</v>
      </c>
      <c r="N295" s="54" t="s">
        <v>18</v>
      </c>
      <c r="O295" s="54" t="s">
        <v>43</v>
      </c>
      <c r="P295" s="54" t="s">
        <v>22</v>
      </c>
      <c r="Q295" s="54" t="s">
        <v>170</v>
      </c>
      <c r="R295" s="159"/>
      <c r="S295" s="162"/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59">
        <f t="shared" si="98"/>
        <v>0</v>
      </c>
      <c r="AB295" s="58">
        <v>2018</v>
      </c>
      <c r="AC295" s="123"/>
      <c r="AD295" s="100"/>
      <c r="AE295" s="100"/>
    </row>
    <row r="296" spans="1:31" x14ac:dyDescent="0.25">
      <c r="A296" s="54" t="s">
        <v>18</v>
      </c>
      <c r="B296" s="54" t="s">
        <v>18</v>
      </c>
      <c r="C296" s="54" t="s">
        <v>24</v>
      </c>
      <c r="D296" s="54" t="s">
        <v>18</v>
      </c>
      <c r="E296" s="54" t="s">
        <v>18</v>
      </c>
      <c r="F296" s="54" t="s">
        <v>18</v>
      </c>
      <c r="G296" s="54" t="s">
        <v>18</v>
      </c>
      <c r="H296" s="54" t="s">
        <v>19</v>
      </c>
      <c r="I296" s="54" t="s">
        <v>24</v>
      </c>
      <c r="J296" s="54" t="s">
        <v>18</v>
      </c>
      <c r="K296" s="54" t="s">
        <v>18</v>
      </c>
      <c r="L296" s="54" t="s">
        <v>20</v>
      </c>
      <c r="M296" s="54" t="s">
        <v>37</v>
      </c>
      <c r="N296" s="54" t="s">
        <v>18</v>
      </c>
      <c r="O296" s="54" t="s">
        <v>24</v>
      </c>
      <c r="P296" s="54" t="s">
        <v>22</v>
      </c>
      <c r="Q296" s="54" t="s">
        <v>46</v>
      </c>
      <c r="R296" s="159"/>
      <c r="S296" s="162"/>
      <c r="T296" s="1">
        <f>T308+T313+T318+T323+T328+T333</f>
        <v>441.79999999999995</v>
      </c>
      <c r="U296" s="1">
        <v>394.2</v>
      </c>
      <c r="V296" s="1">
        <v>235.1</v>
      </c>
      <c r="W296" s="1">
        <v>0</v>
      </c>
      <c r="X296" s="1">
        <v>0</v>
      </c>
      <c r="Y296" s="1">
        <v>0</v>
      </c>
      <c r="Z296" s="1">
        <v>0</v>
      </c>
      <c r="AA296" s="59">
        <f t="shared" si="98"/>
        <v>1071.0999999999999</v>
      </c>
      <c r="AB296" s="58">
        <v>2020</v>
      </c>
      <c r="AC296" s="123"/>
      <c r="AD296" s="100"/>
      <c r="AE296" s="100"/>
    </row>
    <row r="297" spans="1:31" x14ac:dyDescent="0.25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18</v>
      </c>
      <c r="F297" s="54" t="s">
        <v>18</v>
      </c>
      <c r="G297" s="54" t="s">
        <v>18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37</v>
      </c>
      <c r="N297" s="54" t="s">
        <v>18</v>
      </c>
      <c r="O297" s="54" t="s">
        <v>24</v>
      </c>
      <c r="P297" s="54" t="s">
        <v>22</v>
      </c>
      <c r="Q297" s="54" t="s">
        <v>39</v>
      </c>
      <c r="R297" s="159"/>
      <c r="S297" s="162"/>
      <c r="T297" s="1">
        <v>1388.6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98"/>
        <v>1388.6</v>
      </c>
      <c r="AB297" s="58">
        <v>2018</v>
      </c>
      <c r="AC297" s="123"/>
      <c r="AD297" s="100"/>
      <c r="AE297" s="100"/>
    </row>
    <row r="298" spans="1:31" x14ac:dyDescent="0.25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18</v>
      </c>
      <c r="F298" s="54" t="s">
        <v>18</v>
      </c>
      <c r="G298" s="54" t="s">
        <v>18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19</v>
      </c>
      <c r="N298" s="54" t="s">
        <v>18</v>
      </c>
      <c r="O298" s="54" t="s">
        <v>24</v>
      </c>
      <c r="P298" s="54" t="s">
        <v>22</v>
      </c>
      <c r="Q298" s="54" t="s">
        <v>18</v>
      </c>
      <c r="R298" s="159"/>
      <c r="S298" s="162"/>
      <c r="T298" s="1">
        <v>0</v>
      </c>
      <c r="U298" s="1">
        <f>1865.4-95.4</f>
        <v>1770</v>
      </c>
      <c r="V298" s="1">
        <f>600-600</f>
        <v>0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98"/>
        <v>1770</v>
      </c>
      <c r="AB298" s="58">
        <v>2019</v>
      </c>
      <c r="AC298" s="123"/>
      <c r="AD298" s="100"/>
      <c r="AE298" s="100"/>
    </row>
    <row r="299" spans="1:31" x14ac:dyDescent="0.25">
      <c r="A299" s="54" t="s">
        <v>18</v>
      </c>
      <c r="B299" s="54" t="s">
        <v>18</v>
      </c>
      <c r="C299" s="54" t="s">
        <v>24</v>
      </c>
      <c r="D299" s="54" t="s">
        <v>18</v>
      </c>
      <c r="E299" s="54" t="s">
        <v>18</v>
      </c>
      <c r="F299" s="54" t="s">
        <v>18</v>
      </c>
      <c r="G299" s="54" t="s">
        <v>18</v>
      </c>
      <c r="H299" s="54" t="s">
        <v>19</v>
      </c>
      <c r="I299" s="54" t="s">
        <v>24</v>
      </c>
      <c r="J299" s="54" t="s">
        <v>18</v>
      </c>
      <c r="K299" s="54" t="s">
        <v>18</v>
      </c>
      <c r="L299" s="54" t="s">
        <v>20</v>
      </c>
      <c r="M299" s="54" t="s">
        <v>37</v>
      </c>
      <c r="N299" s="54" t="s">
        <v>18</v>
      </c>
      <c r="O299" s="54" t="s">
        <v>24</v>
      </c>
      <c r="P299" s="54" t="s">
        <v>22</v>
      </c>
      <c r="Q299" s="54" t="s">
        <v>18</v>
      </c>
      <c r="R299" s="159"/>
      <c r="S299" s="162"/>
      <c r="T299" s="1">
        <v>0</v>
      </c>
      <c r="U299" s="1">
        <v>1472.1</v>
      </c>
      <c r="V299" s="1">
        <f>540.2+600</f>
        <v>1140.2</v>
      </c>
      <c r="W299" s="1">
        <v>0</v>
      </c>
      <c r="X299" s="1">
        <v>0</v>
      </c>
      <c r="Y299" s="1">
        <v>0</v>
      </c>
      <c r="Z299" s="1">
        <v>0</v>
      </c>
      <c r="AA299" s="59">
        <f t="shared" si="98"/>
        <v>2612.3000000000002</v>
      </c>
      <c r="AB299" s="58">
        <v>2020</v>
      </c>
      <c r="AC299" s="123"/>
      <c r="AD299" s="100"/>
      <c r="AE299" s="100"/>
    </row>
    <row r="300" spans="1:31" x14ac:dyDescent="0.25">
      <c r="A300" s="54" t="s">
        <v>18</v>
      </c>
      <c r="B300" s="54" t="s">
        <v>18</v>
      </c>
      <c r="C300" s="54" t="s">
        <v>24</v>
      </c>
      <c r="D300" s="54" t="s">
        <v>18</v>
      </c>
      <c r="E300" s="54" t="s">
        <v>18</v>
      </c>
      <c r="F300" s="54" t="s">
        <v>18</v>
      </c>
      <c r="G300" s="54" t="s">
        <v>18</v>
      </c>
      <c r="H300" s="54" t="s">
        <v>19</v>
      </c>
      <c r="I300" s="54" t="s">
        <v>24</v>
      </c>
      <c r="J300" s="54" t="s">
        <v>18</v>
      </c>
      <c r="K300" s="54" t="s">
        <v>18</v>
      </c>
      <c r="L300" s="54" t="s">
        <v>20</v>
      </c>
      <c r="M300" s="54" t="s">
        <v>37</v>
      </c>
      <c r="N300" s="54" t="s">
        <v>43</v>
      </c>
      <c r="O300" s="54" t="s">
        <v>18</v>
      </c>
      <c r="P300" s="54" t="s">
        <v>18</v>
      </c>
      <c r="Q300" s="54" t="s">
        <v>18</v>
      </c>
      <c r="R300" s="159"/>
      <c r="S300" s="162"/>
      <c r="T300" s="1">
        <v>0</v>
      </c>
      <c r="U300" s="1">
        <v>0</v>
      </c>
      <c r="V300" s="1">
        <v>0</v>
      </c>
      <c r="W300" s="1">
        <v>2000.4</v>
      </c>
      <c r="X300" s="1">
        <v>530.5</v>
      </c>
      <c r="Y300" s="1">
        <v>0</v>
      </c>
      <c r="Z300" s="1">
        <v>0</v>
      </c>
      <c r="AA300" s="59">
        <f t="shared" si="98"/>
        <v>2530.9</v>
      </c>
      <c r="AB300" s="58">
        <v>2022</v>
      </c>
      <c r="AC300" s="123"/>
      <c r="AD300" s="100"/>
      <c r="AE300" s="100"/>
    </row>
    <row r="301" spans="1:31" x14ac:dyDescent="0.25">
      <c r="A301" s="54" t="s">
        <v>18</v>
      </c>
      <c r="B301" s="54" t="s">
        <v>18</v>
      </c>
      <c r="C301" s="54" t="s">
        <v>24</v>
      </c>
      <c r="D301" s="54" t="s">
        <v>18</v>
      </c>
      <c r="E301" s="54" t="s">
        <v>18</v>
      </c>
      <c r="F301" s="54" t="s">
        <v>18</v>
      </c>
      <c r="G301" s="54" t="s">
        <v>18</v>
      </c>
      <c r="H301" s="54" t="s">
        <v>19</v>
      </c>
      <c r="I301" s="54" t="s">
        <v>24</v>
      </c>
      <c r="J301" s="54" t="s">
        <v>18</v>
      </c>
      <c r="K301" s="54" t="s">
        <v>18</v>
      </c>
      <c r="L301" s="54" t="s">
        <v>20</v>
      </c>
      <c r="M301" s="54" t="s">
        <v>19</v>
      </c>
      <c r="N301" s="54" t="s">
        <v>43</v>
      </c>
      <c r="O301" s="54" t="s">
        <v>18</v>
      </c>
      <c r="P301" s="54" t="s">
        <v>18</v>
      </c>
      <c r="Q301" s="54" t="s">
        <v>18</v>
      </c>
      <c r="R301" s="159"/>
      <c r="S301" s="162"/>
      <c r="T301" s="1">
        <v>0</v>
      </c>
      <c r="U301" s="1">
        <v>0</v>
      </c>
      <c r="V301" s="1">
        <v>0</v>
      </c>
      <c r="W301" s="1">
        <v>4045.4</v>
      </c>
      <c r="X301" s="1">
        <v>305.2</v>
      </c>
      <c r="Y301" s="1">
        <v>0</v>
      </c>
      <c r="Z301" s="1">
        <v>0</v>
      </c>
      <c r="AA301" s="59">
        <f t="shared" si="98"/>
        <v>4350.6000000000004</v>
      </c>
      <c r="AB301" s="58">
        <v>2022</v>
      </c>
      <c r="AC301" s="123"/>
      <c r="AD301" s="100"/>
      <c r="AE301" s="100"/>
    </row>
    <row r="302" spans="1:31" x14ac:dyDescent="0.25">
      <c r="A302" s="54" t="s">
        <v>18</v>
      </c>
      <c r="B302" s="54" t="s">
        <v>18</v>
      </c>
      <c r="C302" s="54" t="s">
        <v>24</v>
      </c>
      <c r="D302" s="54" t="s">
        <v>18</v>
      </c>
      <c r="E302" s="54" t="s">
        <v>18</v>
      </c>
      <c r="F302" s="54" t="s">
        <v>18</v>
      </c>
      <c r="G302" s="54" t="s">
        <v>18</v>
      </c>
      <c r="H302" s="54" t="s">
        <v>19</v>
      </c>
      <c r="I302" s="54" t="s">
        <v>24</v>
      </c>
      <c r="J302" s="54" t="s">
        <v>18</v>
      </c>
      <c r="K302" s="54" t="s">
        <v>18</v>
      </c>
      <c r="L302" s="54" t="s">
        <v>20</v>
      </c>
      <c r="M302" s="54" t="s">
        <v>37</v>
      </c>
      <c r="N302" s="54" t="s">
        <v>43</v>
      </c>
      <c r="O302" s="54" t="s">
        <v>46</v>
      </c>
      <c r="P302" s="54" t="s">
        <v>18</v>
      </c>
      <c r="Q302" s="54" t="s">
        <v>18</v>
      </c>
      <c r="R302" s="160"/>
      <c r="S302" s="163"/>
      <c r="T302" s="1">
        <v>0</v>
      </c>
      <c r="U302" s="1">
        <v>0</v>
      </c>
      <c r="V302" s="1">
        <v>0</v>
      </c>
      <c r="W302" s="1">
        <v>1095.5</v>
      </c>
      <c r="X302" s="1">
        <v>74</v>
      </c>
      <c r="Y302" s="1">
        <v>0</v>
      </c>
      <c r="Z302" s="1">
        <v>0</v>
      </c>
      <c r="AA302" s="59">
        <f t="shared" si="98"/>
        <v>1169.5</v>
      </c>
      <c r="AB302" s="58">
        <v>2022</v>
      </c>
      <c r="AC302" s="123"/>
      <c r="AD302" s="100"/>
      <c r="AE302" s="100"/>
    </row>
    <row r="303" spans="1:31" ht="47.25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80" t="s">
        <v>279</v>
      </c>
      <c r="S303" s="62" t="s">
        <v>52</v>
      </c>
      <c r="T303" s="3">
        <v>0.2</v>
      </c>
      <c r="U303" s="3">
        <v>1.2</v>
      </c>
      <c r="V303" s="3">
        <v>0</v>
      </c>
      <c r="W303" s="3">
        <v>1.1000000000000001</v>
      </c>
      <c r="X303" s="3">
        <v>0</v>
      </c>
      <c r="Y303" s="3">
        <v>0</v>
      </c>
      <c r="Z303" s="3">
        <v>0</v>
      </c>
      <c r="AA303" s="6">
        <f t="shared" si="96"/>
        <v>2.5</v>
      </c>
      <c r="AB303" s="41">
        <v>2021</v>
      </c>
      <c r="AC303" s="127"/>
      <c r="AD303" s="100"/>
      <c r="AE303" s="100"/>
    </row>
    <row r="304" spans="1:31" ht="47.25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80" t="s">
        <v>280</v>
      </c>
      <c r="S304" s="84" t="s">
        <v>50</v>
      </c>
      <c r="T304" s="44">
        <v>6</v>
      </c>
      <c r="U304" s="44">
        <v>5</v>
      </c>
      <c r="V304" s="44">
        <v>1</v>
      </c>
      <c r="W304" s="44">
        <v>8</v>
      </c>
      <c r="X304" s="44">
        <v>1</v>
      </c>
      <c r="Y304" s="44">
        <v>0</v>
      </c>
      <c r="Z304" s="44">
        <v>0</v>
      </c>
      <c r="AA304" s="49">
        <f t="shared" si="96"/>
        <v>21</v>
      </c>
      <c r="AB304" s="41">
        <v>2022</v>
      </c>
      <c r="AC304" s="127"/>
      <c r="AD304" s="100"/>
      <c r="AE304" s="100"/>
    </row>
    <row r="305" spans="1:31" ht="16.350000000000001" hidden="1" customHeight="1" x14ac:dyDescent="0.2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164" t="s">
        <v>193</v>
      </c>
      <c r="S305" s="63" t="s">
        <v>0</v>
      </c>
      <c r="T305" s="1">
        <f>SUM(T306:T309)</f>
        <v>943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59">
        <f t="shared" si="96"/>
        <v>943</v>
      </c>
      <c r="AB305" s="58">
        <v>2018</v>
      </c>
      <c r="AC305" s="9"/>
      <c r="AD305" s="100"/>
      <c r="AE305" s="100"/>
    </row>
    <row r="306" spans="1:31" ht="16.350000000000001" hidden="1" customHeight="1" x14ac:dyDescent="0.25">
      <c r="A306" s="54" t="s">
        <v>18</v>
      </c>
      <c r="B306" s="54" t="s">
        <v>18</v>
      </c>
      <c r="C306" s="54" t="s">
        <v>24</v>
      </c>
      <c r="D306" s="54" t="s">
        <v>18</v>
      </c>
      <c r="E306" s="54" t="s">
        <v>24</v>
      </c>
      <c r="F306" s="54" t="s">
        <v>18</v>
      </c>
      <c r="G306" s="54" t="s">
        <v>43</v>
      </c>
      <c r="H306" s="54" t="s">
        <v>19</v>
      </c>
      <c r="I306" s="54" t="s">
        <v>24</v>
      </c>
      <c r="J306" s="54" t="s">
        <v>18</v>
      </c>
      <c r="K306" s="54" t="s">
        <v>18</v>
      </c>
      <c r="L306" s="54" t="s">
        <v>20</v>
      </c>
      <c r="M306" s="54" t="s">
        <v>19</v>
      </c>
      <c r="N306" s="54" t="s">
        <v>18</v>
      </c>
      <c r="O306" s="54" t="s">
        <v>24</v>
      </c>
      <c r="P306" s="54" t="s">
        <v>22</v>
      </c>
      <c r="Q306" s="54" t="s">
        <v>45</v>
      </c>
      <c r="R306" s="164"/>
      <c r="S306" s="63" t="s">
        <v>0</v>
      </c>
      <c r="T306" s="1">
        <v>377.2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 t="shared" si="96"/>
        <v>377.2</v>
      </c>
      <c r="AB306" s="58">
        <v>2018</v>
      </c>
      <c r="AC306" s="9"/>
      <c r="AD306" s="100"/>
      <c r="AE306" s="100"/>
    </row>
    <row r="307" spans="1:31" ht="16.350000000000001" hidden="1" customHeight="1" x14ac:dyDescent="0.25">
      <c r="A307" s="54" t="s">
        <v>18</v>
      </c>
      <c r="B307" s="54" t="s">
        <v>18</v>
      </c>
      <c r="C307" s="54" t="s">
        <v>24</v>
      </c>
      <c r="D307" s="54" t="s">
        <v>18</v>
      </c>
      <c r="E307" s="54" t="s">
        <v>24</v>
      </c>
      <c r="F307" s="54" t="s">
        <v>18</v>
      </c>
      <c r="G307" s="54" t="s">
        <v>43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37</v>
      </c>
      <c r="N307" s="54" t="s">
        <v>18</v>
      </c>
      <c r="O307" s="54" t="s">
        <v>43</v>
      </c>
      <c r="P307" s="54" t="s">
        <v>22</v>
      </c>
      <c r="Q307" s="54" t="s">
        <v>170</v>
      </c>
      <c r="R307" s="164"/>
      <c r="S307" s="63" t="s">
        <v>0</v>
      </c>
      <c r="T307" s="1">
        <v>30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96"/>
        <v>30</v>
      </c>
      <c r="AB307" s="58">
        <v>2018</v>
      </c>
      <c r="AC307" s="9"/>
      <c r="AD307" s="100"/>
      <c r="AE307" s="100"/>
    </row>
    <row r="308" spans="1:31" ht="16.350000000000001" hidden="1" customHeight="1" x14ac:dyDescent="0.25">
      <c r="A308" s="54" t="s">
        <v>18</v>
      </c>
      <c r="B308" s="54" t="s">
        <v>18</v>
      </c>
      <c r="C308" s="54" t="s">
        <v>24</v>
      </c>
      <c r="D308" s="54" t="s">
        <v>18</v>
      </c>
      <c r="E308" s="54" t="s">
        <v>24</v>
      </c>
      <c r="F308" s="54" t="s">
        <v>18</v>
      </c>
      <c r="G308" s="54" t="s">
        <v>43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37</v>
      </c>
      <c r="N308" s="54" t="s">
        <v>18</v>
      </c>
      <c r="O308" s="54" t="s">
        <v>24</v>
      </c>
      <c r="P308" s="54" t="s">
        <v>22</v>
      </c>
      <c r="Q308" s="54" t="s">
        <v>46</v>
      </c>
      <c r="R308" s="164"/>
      <c r="S308" s="63" t="s">
        <v>0</v>
      </c>
      <c r="T308" s="1">
        <v>113.2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96"/>
        <v>113.2</v>
      </c>
      <c r="AB308" s="58">
        <v>2018</v>
      </c>
      <c r="AC308" s="9"/>
      <c r="AD308" s="100"/>
      <c r="AE308" s="100"/>
    </row>
    <row r="309" spans="1:31" ht="16.350000000000001" hidden="1" customHeight="1" x14ac:dyDescent="0.25">
      <c r="A309" s="54" t="s">
        <v>18</v>
      </c>
      <c r="B309" s="54" t="s">
        <v>18</v>
      </c>
      <c r="C309" s="54" t="s">
        <v>24</v>
      </c>
      <c r="D309" s="54" t="s">
        <v>18</v>
      </c>
      <c r="E309" s="54" t="s">
        <v>24</v>
      </c>
      <c r="F309" s="54" t="s">
        <v>18</v>
      </c>
      <c r="G309" s="54" t="s">
        <v>43</v>
      </c>
      <c r="H309" s="54" t="s">
        <v>19</v>
      </c>
      <c r="I309" s="54" t="s">
        <v>24</v>
      </c>
      <c r="J309" s="54" t="s">
        <v>18</v>
      </c>
      <c r="K309" s="54" t="s">
        <v>18</v>
      </c>
      <c r="L309" s="54" t="s">
        <v>20</v>
      </c>
      <c r="M309" s="54" t="s">
        <v>37</v>
      </c>
      <c r="N309" s="54" t="s">
        <v>18</v>
      </c>
      <c r="O309" s="54" t="s">
        <v>24</v>
      </c>
      <c r="P309" s="54" t="s">
        <v>22</v>
      </c>
      <c r="Q309" s="54" t="s">
        <v>39</v>
      </c>
      <c r="R309" s="164"/>
      <c r="S309" s="63" t="s">
        <v>0</v>
      </c>
      <c r="T309" s="1">
        <v>422.6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9">
        <f t="shared" si="96"/>
        <v>422.6</v>
      </c>
      <c r="AB309" s="58">
        <v>2018</v>
      </c>
      <c r="AC309" s="9"/>
      <c r="AD309" s="100"/>
      <c r="AE309" s="100"/>
    </row>
    <row r="310" spans="1:31" ht="33.6" hidden="1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88" t="s">
        <v>194</v>
      </c>
      <c r="S310" s="84" t="s">
        <v>167</v>
      </c>
      <c r="T310" s="3">
        <v>1046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6">
        <f t="shared" si="96"/>
        <v>1046</v>
      </c>
      <c r="AB310" s="41">
        <v>2018</v>
      </c>
      <c r="AC310" s="9"/>
      <c r="AD310" s="100"/>
      <c r="AE310" s="100"/>
    </row>
    <row r="311" spans="1:31" ht="21.75" hidden="1" customHeight="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164" t="s">
        <v>195</v>
      </c>
      <c r="S311" s="63" t="s">
        <v>0</v>
      </c>
      <c r="T311" s="1">
        <f>SUM(T312:T314)</f>
        <v>835.4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>SUM(T311:Y311)</f>
        <v>835.4</v>
      </c>
      <c r="AB311" s="58">
        <v>2018</v>
      </c>
      <c r="AC311" s="9"/>
      <c r="AD311" s="100"/>
      <c r="AE311" s="100"/>
    </row>
    <row r="312" spans="1:31" ht="22.9" hidden="1" customHeight="1" x14ac:dyDescent="0.25">
      <c r="A312" s="54" t="s">
        <v>18</v>
      </c>
      <c r="B312" s="54" t="s">
        <v>18</v>
      </c>
      <c r="C312" s="54" t="s">
        <v>24</v>
      </c>
      <c r="D312" s="54" t="s">
        <v>18</v>
      </c>
      <c r="E312" s="54" t="s">
        <v>21</v>
      </c>
      <c r="F312" s="54" t="s">
        <v>18</v>
      </c>
      <c r="G312" s="54" t="s">
        <v>22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19</v>
      </c>
      <c r="N312" s="54" t="s">
        <v>18</v>
      </c>
      <c r="O312" s="54" t="s">
        <v>24</v>
      </c>
      <c r="P312" s="54" t="s">
        <v>22</v>
      </c>
      <c r="Q312" s="54" t="s">
        <v>45</v>
      </c>
      <c r="R312" s="164"/>
      <c r="S312" s="63" t="s">
        <v>0</v>
      </c>
      <c r="T312" s="1">
        <v>334.2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>SUM(T312:Y312)</f>
        <v>334.2</v>
      </c>
      <c r="AB312" s="58">
        <v>2018</v>
      </c>
      <c r="AC312" s="9"/>
      <c r="AD312" s="100"/>
      <c r="AE312" s="100"/>
    </row>
    <row r="313" spans="1:31" ht="22.15" hidden="1" customHeight="1" x14ac:dyDescent="0.25">
      <c r="A313" s="54" t="s">
        <v>18</v>
      </c>
      <c r="B313" s="54" t="s">
        <v>18</v>
      </c>
      <c r="C313" s="54" t="s">
        <v>24</v>
      </c>
      <c r="D313" s="54" t="s">
        <v>18</v>
      </c>
      <c r="E313" s="54" t="s">
        <v>21</v>
      </c>
      <c r="F313" s="54" t="s">
        <v>18</v>
      </c>
      <c r="G313" s="54" t="s">
        <v>22</v>
      </c>
      <c r="H313" s="54" t="s">
        <v>19</v>
      </c>
      <c r="I313" s="54" t="s">
        <v>24</v>
      </c>
      <c r="J313" s="54" t="s">
        <v>18</v>
      </c>
      <c r="K313" s="54" t="s">
        <v>18</v>
      </c>
      <c r="L313" s="54" t="s">
        <v>20</v>
      </c>
      <c r="M313" s="54" t="s">
        <v>37</v>
      </c>
      <c r="N313" s="54" t="s">
        <v>18</v>
      </c>
      <c r="O313" s="54" t="s">
        <v>24</v>
      </c>
      <c r="P313" s="54" t="s">
        <v>22</v>
      </c>
      <c r="Q313" s="54" t="s">
        <v>46</v>
      </c>
      <c r="R313" s="164"/>
      <c r="S313" s="63" t="s">
        <v>0</v>
      </c>
      <c r="T313" s="1">
        <v>83.5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59">
        <f>SUM(T313:Y313)</f>
        <v>83.5</v>
      </c>
      <c r="AB313" s="58">
        <v>2018</v>
      </c>
      <c r="AC313" s="9"/>
      <c r="AD313" s="100"/>
      <c r="AE313" s="100"/>
    </row>
    <row r="314" spans="1:31" ht="21.75" hidden="1" customHeight="1" x14ac:dyDescent="0.25">
      <c r="A314" s="54" t="s">
        <v>18</v>
      </c>
      <c r="B314" s="54" t="s">
        <v>18</v>
      </c>
      <c r="C314" s="54" t="s">
        <v>24</v>
      </c>
      <c r="D314" s="54" t="s">
        <v>18</v>
      </c>
      <c r="E314" s="54" t="s">
        <v>21</v>
      </c>
      <c r="F314" s="54" t="s">
        <v>18</v>
      </c>
      <c r="G314" s="54" t="s">
        <v>22</v>
      </c>
      <c r="H314" s="54" t="s">
        <v>19</v>
      </c>
      <c r="I314" s="54" t="s">
        <v>24</v>
      </c>
      <c r="J314" s="54" t="s">
        <v>18</v>
      </c>
      <c r="K314" s="54" t="s">
        <v>18</v>
      </c>
      <c r="L314" s="54" t="s">
        <v>20</v>
      </c>
      <c r="M314" s="54" t="s">
        <v>37</v>
      </c>
      <c r="N314" s="54" t="s">
        <v>18</v>
      </c>
      <c r="O314" s="54" t="s">
        <v>24</v>
      </c>
      <c r="P314" s="54" t="s">
        <v>22</v>
      </c>
      <c r="Q314" s="54" t="s">
        <v>39</v>
      </c>
      <c r="R314" s="164"/>
      <c r="S314" s="63" t="s">
        <v>0</v>
      </c>
      <c r="T314" s="1">
        <v>417.7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59">
        <f>SUM(T314:Y314)</f>
        <v>417.7</v>
      </c>
      <c r="AB314" s="58">
        <v>2018</v>
      </c>
      <c r="AC314" s="9"/>
      <c r="AD314" s="100"/>
      <c r="AE314" s="100"/>
    </row>
    <row r="315" spans="1:31" ht="47.45" hidden="1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88" t="s">
        <v>196</v>
      </c>
      <c r="S315" s="84" t="s">
        <v>8</v>
      </c>
      <c r="T315" s="44">
        <v>1</v>
      </c>
      <c r="U315" s="44">
        <v>0</v>
      </c>
      <c r="V315" s="44">
        <v>0</v>
      </c>
      <c r="W315" s="44">
        <v>0</v>
      </c>
      <c r="X315" s="44">
        <v>0</v>
      </c>
      <c r="Y315" s="44">
        <v>0</v>
      </c>
      <c r="Z315" s="44">
        <v>0</v>
      </c>
      <c r="AA315" s="6">
        <f>SUM(T315:Y315)</f>
        <v>1</v>
      </c>
      <c r="AB315" s="41">
        <v>2018</v>
      </c>
      <c r="AC315" s="9"/>
      <c r="AD315" s="100"/>
      <c r="AE315" s="100"/>
    </row>
    <row r="316" spans="1:31" ht="16.350000000000001" hidden="1" customHeight="1" x14ac:dyDescent="0.2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164" t="s">
        <v>197</v>
      </c>
      <c r="S316" s="63" t="s">
        <v>0</v>
      </c>
      <c r="T316" s="1">
        <f>SUM(T317:T319)</f>
        <v>952.5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59">
        <f t="shared" ref="AA316:AA349" si="99">SUM(T316:Y316)</f>
        <v>952.5</v>
      </c>
      <c r="AB316" s="58">
        <v>2018</v>
      </c>
      <c r="AC316" s="9"/>
      <c r="AD316" s="100"/>
      <c r="AE316" s="100"/>
    </row>
    <row r="317" spans="1:31" ht="16.350000000000001" hidden="1" customHeight="1" x14ac:dyDescent="0.25">
      <c r="A317" s="54" t="s">
        <v>18</v>
      </c>
      <c r="B317" s="54" t="s">
        <v>18</v>
      </c>
      <c r="C317" s="54" t="s">
        <v>24</v>
      </c>
      <c r="D317" s="54" t="s">
        <v>18</v>
      </c>
      <c r="E317" s="54" t="s">
        <v>21</v>
      </c>
      <c r="F317" s="54" t="s">
        <v>18</v>
      </c>
      <c r="G317" s="54" t="s">
        <v>22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19</v>
      </c>
      <c r="N317" s="54" t="s">
        <v>18</v>
      </c>
      <c r="O317" s="54" t="s">
        <v>24</v>
      </c>
      <c r="P317" s="54" t="s">
        <v>22</v>
      </c>
      <c r="Q317" s="54" t="s">
        <v>45</v>
      </c>
      <c r="R317" s="164"/>
      <c r="S317" s="63" t="s">
        <v>0</v>
      </c>
      <c r="T317" s="1">
        <v>381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si="99"/>
        <v>381</v>
      </c>
      <c r="AB317" s="58">
        <v>2018</v>
      </c>
      <c r="AC317" s="9"/>
      <c r="AD317" s="100"/>
      <c r="AE317" s="100"/>
    </row>
    <row r="318" spans="1:31" ht="16.350000000000001" hidden="1" customHeight="1" x14ac:dyDescent="0.25">
      <c r="A318" s="54" t="s">
        <v>18</v>
      </c>
      <c r="B318" s="54" t="s">
        <v>18</v>
      </c>
      <c r="C318" s="54" t="s">
        <v>24</v>
      </c>
      <c r="D318" s="54" t="s">
        <v>18</v>
      </c>
      <c r="E318" s="54" t="s">
        <v>21</v>
      </c>
      <c r="F318" s="54" t="s">
        <v>18</v>
      </c>
      <c r="G318" s="54" t="s">
        <v>22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37</v>
      </c>
      <c r="N318" s="54" t="s">
        <v>18</v>
      </c>
      <c r="O318" s="54" t="s">
        <v>24</v>
      </c>
      <c r="P318" s="54" t="s">
        <v>22</v>
      </c>
      <c r="Q318" s="54" t="s">
        <v>46</v>
      </c>
      <c r="R318" s="164"/>
      <c r="S318" s="63" t="s">
        <v>0</v>
      </c>
      <c r="T318" s="1">
        <v>114.3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9"/>
        <v>114.3</v>
      </c>
      <c r="AB318" s="58">
        <v>2018</v>
      </c>
      <c r="AC318" s="9"/>
      <c r="AD318" s="100"/>
      <c r="AE318" s="100"/>
    </row>
    <row r="319" spans="1:31" ht="16.350000000000001" hidden="1" customHeight="1" x14ac:dyDescent="0.25">
      <c r="A319" s="54" t="s">
        <v>18</v>
      </c>
      <c r="B319" s="54" t="s">
        <v>18</v>
      </c>
      <c r="C319" s="54" t="s">
        <v>24</v>
      </c>
      <c r="D319" s="54" t="s">
        <v>18</v>
      </c>
      <c r="E319" s="54" t="s">
        <v>21</v>
      </c>
      <c r="F319" s="54" t="s">
        <v>18</v>
      </c>
      <c r="G319" s="54" t="s">
        <v>22</v>
      </c>
      <c r="H319" s="54" t="s">
        <v>19</v>
      </c>
      <c r="I319" s="54" t="s">
        <v>24</v>
      </c>
      <c r="J319" s="54" t="s">
        <v>18</v>
      </c>
      <c r="K319" s="54" t="s">
        <v>18</v>
      </c>
      <c r="L319" s="54" t="s">
        <v>20</v>
      </c>
      <c r="M319" s="54" t="s">
        <v>37</v>
      </c>
      <c r="N319" s="54" t="s">
        <v>18</v>
      </c>
      <c r="O319" s="54" t="s">
        <v>24</v>
      </c>
      <c r="P319" s="54" t="s">
        <v>22</v>
      </c>
      <c r="Q319" s="54" t="s">
        <v>39</v>
      </c>
      <c r="R319" s="164"/>
      <c r="S319" s="63" t="s">
        <v>0</v>
      </c>
      <c r="T319" s="1">
        <v>457.2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9">
        <f t="shared" si="99"/>
        <v>457.2</v>
      </c>
      <c r="AB319" s="58">
        <v>2018</v>
      </c>
      <c r="AC319" s="9"/>
      <c r="AD319" s="100"/>
      <c r="AE319" s="100"/>
    </row>
    <row r="320" spans="1:31" ht="31.15" hidden="1" customHeight="1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80" t="s">
        <v>198</v>
      </c>
      <c r="S320" s="84" t="s">
        <v>167</v>
      </c>
      <c r="T320" s="3">
        <v>151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6">
        <f t="shared" si="99"/>
        <v>151</v>
      </c>
      <c r="AB320" s="41">
        <v>2018</v>
      </c>
      <c r="AC320" s="9"/>
      <c r="AD320" s="100"/>
      <c r="AE320" s="100"/>
    </row>
    <row r="321" spans="1:31" ht="15.6" hidden="1" customHeight="1" x14ac:dyDescent="0.2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164" t="s">
        <v>199</v>
      </c>
      <c r="S321" s="63" t="s">
        <v>0</v>
      </c>
      <c r="T321" s="1">
        <f>SUM(T322:T324)</f>
        <v>435.8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9"/>
        <v>435.8</v>
      </c>
      <c r="AB321" s="58">
        <v>2018</v>
      </c>
      <c r="AC321" s="9"/>
      <c r="AD321" s="100"/>
      <c r="AE321" s="100"/>
    </row>
    <row r="322" spans="1:31" ht="15.6" hidden="1" customHeight="1" x14ac:dyDescent="0.25">
      <c r="A322" s="54" t="s">
        <v>18</v>
      </c>
      <c r="B322" s="54" t="s">
        <v>18</v>
      </c>
      <c r="C322" s="54" t="s">
        <v>24</v>
      </c>
      <c r="D322" s="54" t="s">
        <v>18</v>
      </c>
      <c r="E322" s="54" t="s">
        <v>21</v>
      </c>
      <c r="F322" s="54" t="s">
        <v>18</v>
      </c>
      <c r="G322" s="54" t="s">
        <v>22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19</v>
      </c>
      <c r="N322" s="54" t="s">
        <v>18</v>
      </c>
      <c r="O322" s="54" t="s">
        <v>24</v>
      </c>
      <c r="P322" s="54" t="s">
        <v>22</v>
      </c>
      <c r="Q322" s="54" t="s">
        <v>45</v>
      </c>
      <c r="R322" s="164"/>
      <c r="S322" s="63" t="s">
        <v>0</v>
      </c>
      <c r="T322" s="1">
        <v>174.3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9"/>
        <v>174.3</v>
      </c>
      <c r="AB322" s="58">
        <v>2018</v>
      </c>
      <c r="AC322" s="9"/>
      <c r="AD322" s="100"/>
      <c r="AE322" s="100"/>
    </row>
    <row r="323" spans="1:31" ht="15.6" hidden="1" customHeight="1" x14ac:dyDescent="0.25">
      <c r="A323" s="54" t="s">
        <v>18</v>
      </c>
      <c r="B323" s="54" t="s">
        <v>18</v>
      </c>
      <c r="C323" s="54" t="s">
        <v>24</v>
      </c>
      <c r="D323" s="54" t="s">
        <v>18</v>
      </c>
      <c r="E323" s="54" t="s">
        <v>21</v>
      </c>
      <c r="F323" s="54" t="s">
        <v>18</v>
      </c>
      <c r="G323" s="54" t="s">
        <v>22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37</v>
      </c>
      <c r="N323" s="54" t="s">
        <v>18</v>
      </c>
      <c r="O323" s="54" t="s">
        <v>24</v>
      </c>
      <c r="P323" s="54" t="s">
        <v>22</v>
      </c>
      <c r="Q323" s="54" t="s">
        <v>46</v>
      </c>
      <c r="R323" s="164"/>
      <c r="S323" s="63" t="s">
        <v>0</v>
      </c>
      <c r="T323" s="1">
        <v>45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9"/>
        <v>45</v>
      </c>
      <c r="AB323" s="58">
        <v>2018</v>
      </c>
      <c r="AC323" s="9"/>
      <c r="AD323" s="100"/>
      <c r="AE323" s="100"/>
    </row>
    <row r="324" spans="1:31" ht="15.6" hidden="1" customHeight="1" x14ac:dyDescent="0.25">
      <c r="A324" s="54" t="s">
        <v>18</v>
      </c>
      <c r="B324" s="54" t="s">
        <v>18</v>
      </c>
      <c r="C324" s="54" t="s">
        <v>24</v>
      </c>
      <c r="D324" s="54" t="s">
        <v>18</v>
      </c>
      <c r="E324" s="54" t="s">
        <v>21</v>
      </c>
      <c r="F324" s="54" t="s">
        <v>18</v>
      </c>
      <c r="G324" s="54" t="s">
        <v>22</v>
      </c>
      <c r="H324" s="54" t="s">
        <v>19</v>
      </c>
      <c r="I324" s="54" t="s">
        <v>24</v>
      </c>
      <c r="J324" s="54" t="s">
        <v>18</v>
      </c>
      <c r="K324" s="54" t="s">
        <v>18</v>
      </c>
      <c r="L324" s="54" t="s">
        <v>20</v>
      </c>
      <c r="M324" s="54" t="s">
        <v>37</v>
      </c>
      <c r="N324" s="54" t="s">
        <v>18</v>
      </c>
      <c r="O324" s="54" t="s">
        <v>24</v>
      </c>
      <c r="P324" s="54" t="s">
        <v>22</v>
      </c>
      <c r="Q324" s="54" t="s">
        <v>39</v>
      </c>
      <c r="R324" s="164"/>
      <c r="S324" s="63" t="s">
        <v>0</v>
      </c>
      <c r="T324" s="1">
        <v>216.5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59">
        <f t="shared" si="99"/>
        <v>216.5</v>
      </c>
      <c r="AB324" s="58">
        <v>2018</v>
      </c>
      <c r="AC324" s="9"/>
      <c r="AD324" s="100"/>
      <c r="AE324" s="100"/>
    </row>
    <row r="325" spans="1:31" ht="46.9" hidden="1" customHeight="1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80" t="s">
        <v>200</v>
      </c>
      <c r="S325" s="84" t="s">
        <v>50</v>
      </c>
      <c r="T325" s="44">
        <v>16</v>
      </c>
      <c r="U325" s="44">
        <v>0</v>
      </c>
      <c r="V325" s="44">
        <v>0</v>
      </c>
      <c r="W325" s="44">
        <v>0</v>
      </c>
      <c r="X325" s="44">
        <v>0</v>
      </c>
      <c r="Y325" s="44">
        <v>0</v>
      </c>
      <c r="Z325" s="44">
        <v>0</v>
      </c>
      <c r="AA325" s="49">
        <f t="shared" si="99"/>
        <v>16</v>
      </c>
      <c r="AB325" s="41">
        <v>2018</v>
      </c>
      <c r="AC325" s="9"/>
      <c r="AD325" s="100"/>
      <c r="AE325" s="100"/>
    </row>
    <row r="326" spans="1:31" ht="15.6" hidden="1" customHeight="1" x14ac:dyDescent="0.25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164" t="s">
        <v>201</v>
      </c>
      <c r="S326" s="63" t="s">
        <v>0</v>
      </c>
      <c r="T326" s="1">
        <f>SUM(T327:T329)</f>
        <v>349.1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59">
        <f t="shared" si="99"/>
        <v>349.1</v>
      </c>
      <c r="AB326" s="58">
        <v>2018</v>
      </c>
      <c r="AC326" s="9"/>
      <c r="AD326" s="100"/>
      <c r="AE326" s="100"/>
    </row>
    <row r="327" spans="1:31" ht="15.6" hidden="1" customHeight="1" x14ac:dyDescent="0.25">
      <c r="A327" s="54" t="s">
        <v>18</v>
      </c>
      <c r="B327" s="54" t="s">
        <v>18</v>
      </c>
      <c r="C327" s="54" t="s">
        <v>24</v>
      </c>
      <c r="D327" s="54" t="s">
        <v>18</v>
      </c>
      <c r="E327" s="54" t="s">
        <v>21</v>
      </c>
      <c r="F327" s="54" t="s">
        <v>18</v>
      </c>
      <c r="G327" s="54" t="s">
        <v>22</v>
      </c>
      <c r="H327" s="54" t="s">
        <v>19</v>
      </c>
      <c r="I327" s="54" t="s">
        <v>24</v>
      </c>
      <c r="J327" s="54" t="s">
        <v>18</v>
      </c>
      <c r="K327" s="54" t="s">
        <v>18</v>
      </c>
      <c r="L327" s="54" t="s">
        <v>20</v>
      </c>
      <c r="M327" s="54" t="s">
        <v>19</v>
      </c>
      <c r="N327" s="54" t="s">
        <v>18</v>
      </c>
      <c r="O327" s="54" t="s">
        <v>24</v>
      </c>
      <c r="P327" s="54" t="s">
        <v>22</v>
      </c>
      <c r="Q327" s="54" t="s">
        <v>45</v>
      </c>
      <c r="R327" s="164"/>
      <c r="S327" s="63" t="s">
        <v>0</v>
      </c>
      <c r="T327" s="1">
        <v>139.6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59">
        <f t="shared" si="99"/>
        <v>139.6</v>
      </c>
      <c r="AB327" s="58">
        <v>2018</v>
      </c>
      <c r="AC327" s="9"/>
      <c r="AD327" s="100"/>
      <c r="AE327" s="100"/>
    </row>
    <row r="328" spans="1:31" ht="15.6" hidden="1" customHeight="1" x14ac:dyDescent="0.25">
      <c r="A328" s="54" t="s">
        <v>18</v>
      </c>
      <c r="B328" s="54" t="s">
        <v>18</v>
      </c>
      <c r="C328" s="54" t="s">
        <v>24</v>
      </c>
      <c r="D328" s="54" t="s">
        <v>18</v>
      </c>
      <c r="E328" s="54" t="s">
        <v>21</v>
      </c>
      <c r="F328" s="54" t="s">
        <v>18</v>
      </c>
      <c r="G328" s="54" t="s">
        <v>22</v>
      </c>
      <c r="H328" s="54" t="s">
        <v>19</v>
      </c>
      <c r="I328" s="54" t="s">
        <v>24</v>
      </c>
      <c r="J328" s="54" t="s">
        <v>18</v>
      </c>
      <c r="K328" s="54" t="s">
        <v>18</v>
      </c>
      <c r="L328" s="54" t="s">
        <v>20</v>
      </c>
      <c r="M328" s="54" t="s">
        <v>37</v>
      </c>
      <c r="N328" s="54" t="s">
        <v>18</v>
      </c>
      <c r="O328" s="54" t="s">
        <v>24</v>
      </c>
      <c r="P328" s="54" t="s">
        <v>22</v>
      </c>
      <c r="Q328" s="54" t="s">
        <v>46</v>
      </c>
      <c r="R328" s="164"/>
      <c r="S328" s="63" t="s">
        <v>0</v>
      </c>
      <c r="T328" s="1">
        <v>34.9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59">
        <f t="shared" si="99"/>
        <v>34.9</v>
      </c>
      <c r="AB328" s="58">
        <v>2018</v>
      </c>
      <c r="AC328" s="9"/>
      <c r="AD328" s="100"/>
      <c r="AE328" s="100"/>
    </row>
    <row r="329" spans="1:31" ht="15.6" hidden="1" customHeight="1" x14ac:dyDescent="0.25">
      <c r="A329" s="54" t="s">
        <v>18</v>
      </c>
      <c r="B329" s="54" t="s">
        <v>18</v>
      </c>
      <c r="C329" s="54" t="s">
        <v>24</v>
      </c>
      <c r="D329" s="54" t="s">
        <v>18</v>
      </c>
      <c r="E329" s="54" t="s">
        <v>21</v>
      </c>
      <c r="F329" s="54" t="s">
        <v>18</v>
      </c>
      <c r="G329" s="54" t="s">
        <v>22</v>
      </c>
      <c r="H329" s="54" t="s">
        <v>19</v>
      </c>
      <c r="I329" s="54" t="s">
        <v>24</v>
      </c>
      <c r="J329" s="54" t="s">
        <v>18</v>
      </c>
      <c r="K329" s="54" t="s">
        <v>18</v>
      </c>
      <c r="L329" s="54" t="s">
        <v>20</v>
      </c>
      <c r="M329" s="54" t="s">
        <v>37</v>
      </c>
      <c r="N329" s="54" t="s">
        <v>18</v>
      </c>
      <c r="O329" s="54" t="s">
        <v>24</v>
      </c>
      <c r="P329" s="54" t="s">
        <v>22</v>
      </c>
      <c r="Q329" s="54" t="s">
        <v>39</v>
      </c>
      <c r="R329" s="164"/>
      <c r="S329" s="63" t="s">
        <v>0</v>
      </c>
      <c r="T329" s="1">
        <v>174.6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59">
        <f t="shared" si="99"/>
        <v>174.6</v>
      </c>
      <c r="AB329" s="58">
        <v>2018</v>
      </c>
      <c r="AC329" s="9"/>
      <c r="AD329" s="100"/>
      <c r="AE329" s="100"/>
    </row>
    <row r="330" spans="1:31" ht="30.6" hidden="1" customHeight="1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80" t="s">
        <v>202</v>
      </c>
      <c r="S330" s="84" t="s">
        <v>168</v>
      </c>
      <c r="T330" s="3">
        <v>49.7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6">
        <f t="shared" si="99"/>
        <v>49.7</v>
      </c>
      <c r="AB330" s="41">
        <v>2018</v>
      </c>
      <c r="AC330" s="9"/>
      <c r="AD330" s="100"/>
      <c r="AE330" s="100"/>
    </row>
    <row r="331" spans="1:31" ht="15.6" hidden="1" customHeight="1" x14ac:dyDescent="0.25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164" t="s">
        <v>203</v>
      </c>
      <c r="S331" s="63" t="s">
        <v>0</v>
      </c>
      <c r="T331" s="1">
        <f>SUM(T332:T334)</f>
        <v>508.5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99"/>
        <v>508.5</v>
      </c>
      <c r="AB331" s="58">
        <v>2018</v>
      </c>
      <c r="AC331" s="9"/>
      <c r="AD331" s="100"/>
      <c r="AE331" s="100"/>
    </row>
    <row r="332" spans="1:31" ht="15.6" hidden="1" customHeight="1" x14ac:dyDescent="0.25">
      <c r="A332" s="54" t="s">
        <v>18</v>
      </c>
      <c r="B332" s="54" t="s">
        <v>18</v>
      </c>
      <c r="C332" s="54" t="s">
        <v>24</v>
      </c>
      <c r="D332" s="54" t="s">
        <v>18</v>
      </c>
      <c r="E332" s="54" t="s">
        <v>21</v>
      </c>
      <c r="F332" s="54" t="s">
        <v>18</v>
      </c>
      <c r="G332" s="54" t="s">
        <v>22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19</v>
      </c>
      <c r="N332" s="54" t="s">
        <v>18</v>
      </c>
      <c r="O332" s="54" t="s">
        <v>24</v>
      </c>
      <c r="P332" s="54" t="s">
        <v>22</v>
      </c>
      <c r="Q332" s="54" t="s">
        <v>45</v>
      </c>
      <c r="R332" s="164"/>
      <c r="S332" s="63" t="s">
        <v>0</v>
      </c>
      <c r="T332" s="1">
        <v>203.4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99"/>
        <v>203.4</v>
      </c>
      <c r="AB332" s="58">
        <v>2018</v>
      </c>
      <c r="AC332" s="9"/>
      <c r="AD332" s="100"/>
      <c r="AE332" s="100"/>
    </row>
    <row r="333" spans="1:31" ht="15.6" hidden="1" customHeight="1" x14ac:dyDescent="0.25">
      <c r="A333" s="54" t="s">
        <v>18</v>
      </c>
      <c r="B333" s="54" t="s">
        <v>18</v>
      </c>
      <c r="C333" s="54" t="s">
        <v>24</v>
      </c>
      <c r="D333" s="54" t="s">
        <v>18</v>
      </c>
      <c r="E333" s="54" t="s">
        <v>21</v>
      </c>
      <c r="F333" s="54" t="s">
        <v>18</v>
      </c>
      <c r="G333" s="54" t="s">
        <v>22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46</v>
      </c>
      <c r="R333" s="164"/>
      <c r="S333" s="63" t="s">
        <v>0</v>
      </c>
      <c r="T333" s="1">
        <v>50.9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99"/>
        <v>50.9</v>
      </c>
      <c r="AB333" s="58">
        <v>2018</v>
      </c>
      <c r="AC333" s="9"/>
      <c r="AD333" s="100"/>
      <c r="AE333" s="100"/>
    </row>
    <row r="334" spans="1:31" ht="15.6" hidden="1" customHeight="1" x14ac:dyDescent="0.25">
      <c r="A334" s="54" t="s">
        <v>18</v>
      </c>
      <c r="B334" s="54" t="s">
        <v>18</v>
      </c>
      <c r="C334" s="54" t="s">
        <v>24</v>
      </c>
      <c r="D334" s="54" t="s">
        <v>18</v>
      </c>
      <c r="E334" s="54" t="s">
        <v>21</v>
      </c>
      <c r="F334" s="54" t="s">
        <v>18</v>
      </c>
      <c r="G334" s="54" t="s">
        <v>22</v>
      </c>
      <c r="H334" s="54" t="s">
        <v>19</v>
      </c>
      <c r="I334" s="54" t="s">
        <v>24</v>
      </c>
      <c r="J334" s="54" t="s">
        <v>18</v>
      </c>
      <c r="K334" s="54" t="s">
        <v>18</v>
      </c>
      <c r="L334" s="54" t="s">
        <v>20</v>
      </c>
      <c r="M334" s="54" t="s">
        <v>37</v>
      </c>
      <c r="N334" s="54" t="s">
        <v>18</v>
      </c>
      <c r="O334" s="54" t="s">
        <v>24</v>
      </c>
      <c r="P334" s="54" t="s">
        <v>22</v>
      </c>
      <c r="Q334" s="54" t="s">
        <v>39</v>
      </c>
      <c r="R334" s="164"/>
      <c r="S334" s="63" t="s">
        <v>0</v>
      </c>
      <c r="T334" s="1">
        <v>254.2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59">
        <f t="shared" si="99"/>
        <v>254.2</v>
      </c>
      <c r="AB334" s="58">
        <v>2018</v>
      </c>
      <c r="AC334" s="9"/>
      <c r="AD334" s="100"/>
      <c r="AE334" s="100"/>
    </row>
    <row r="335" spans="1:31" ht="31.15" hidden="1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80" t="s">
        <v>204</v>
      </c>
      <c r="S335" s="84" t="s">
        <v>168</v>
      </c>
      <c r="T335" s="3">
        <v>88.3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99"/>
        <v>88.3</v>
      </c>
      <c r="AB335" s="41">
        <v>2018</v>
      </c>
      <c r="AC335" s="9"/>
      <c r="AD335" s="100"/>
      <c r="AE335" s="100"/>
    </row>
    <row r="336" spans="1:31" ht="15.6" customHeight="1" x14ac:dyDescent="0.25">
      <c r="A336" s="54" t="s">
        <v>18</v>
      </c>
      <c r="B336" s="54" t="s">
        <v>18</v>
      </c>
      <c r="C336" s="54" t="s">
        <v>21</v>
      </c>
      <c r="D336" s="54" t="s">
        <v>18</v>
      </c>
      <c r="E336" s="54" t="s">
        <v>18</v>
      </c>
      <c r="F336" s="54" t="s">
        <v>18</v>
      </c>
      <c r="G336" s="54" t="s">
        <v>18</v>
      </c>
      <c r="H336" s="54" t="s">
        <v>19</v>
      </c>
      <c r="I336" s="54" t="s">
        <v>24</v>
      </c>
      <c r="J336" s="54" t="s">
        <v>18</v>
      </c>
      <c r="K336" s="54" t="s">
        <v>18</v>
      </c>
      <c r="L336" s="54" t="s">
        <v>20</v>
      </c>
      <c r="M336" s="54" t="s">
        <v>18</v>
      </c>
      <c r="N336" s="54" t="s">
        <v>18</v>
      </c>
      <c r="O336" s="54" t="s">
        <v>18</v>
      </c>
      <c r="P336" s="54" t="s">
        <v>18</v>
      </c>
      <c r="Q336" s="54" t="s">
        <v>18</v>
      </c>
      <c r="R336" s="158" t="s">
        <v>133</v>
      </c>
      <c r="S336" s="161" t="s">
        <v>0</v>
      </c>
      <c r="T336" s="59">
        <f>SUM(T337:T340)</f>
        <v>8990.0999999999985</v>
      </c>
      <c r="U336" s="59">
        <f>SUM(U337:U343)</f>
        <v>8489.7000000000007</v>
      </c>
      <c r="V336" s="59">
        <v>0</v>
      </c>
      <c r="W336" s="59">
        <f>SUM(W337:W347)</f>
        <v>6534.5</v>
      </c>
      <c r="X336" s="59">
        <f t="shared" ref="X336:Z336" si="100">SUM(X337:X347)</f>
        <v>2062.1</v>
      </c>
      <c r="Y336" s="59">
        <f t="shared" si="100"/>
        <v>0</v>
      </c>
      <c r="Z336" s="59">
        <f t="shared" si="100"/>
        <v>0</v>
      </c>
      <c r="AA336" s="59">
        <f>SUM(T336:Z336)</f>
        <v>26076.399999999998</v>
      </c>
      <c r="AB336" s="58">
        <v>2022</v>
      </c>
      <c r="AC336" s="123"/>
      <c r="AD336" s="100"/>
      <c r="AE336" s="100"/>
    </row>
    <row r="337" spans="1:31" x14ac:dyDescent="0.25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18</v>
      </c>
      <c r="F337" s="54" t="s">
        <v>18</v>
      </c>
      <c r="G337" s="54" t="s">
        <v>18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24</v>
      </c>
      <c r="P337" s="54" t="s">
        <v>22</v>
      </c>
      <c r="Q337" s="54" t="s">
        <v>45</v>
      </c>
      <c r="R337" s="159"/>
      <c r="S337" s="162"/>
      <c r="T337" s="1">
        <f>T351+T357+T364+T371+T378+T385+T392+T399+T406+T413+T419+T425</f>
        <v>3538.9999999999995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 t="shared" ref="AA337:AA347" si="101">SUM(T337:Z337)</f>
        <v>3538.9999999999995</v>
      </c>
      <c r="AB337" s="58">
        <v>2018</v>
      </c>
      <c r="AC337" s="123"/>
      <c r="AD337" s="100"/>
      <c r="AE337" s="100"/>
    </row>
    <row r="338" spans="1:31" x14ac:dyDescent="0.25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18</v>
      </c>
      <c r="F338" s="54" t="s">
        <v>18</v>
      </c>
      <c r="G338" s="54" t="s">
        <v>18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19</v>
      </c>
      <c r="N338" s="54" t="s">
        <v>18</v>
      </c>
      <c r="O338" s="54" t="s">
        <v>43</v>
      </c>
      <c r="P338" s="54" t="s">
        <v>22</v>
      </c>
      <c r="Q338" s="54" t="s">
        <v>170</v>
      </c>
      <c r="R338" s="159"/>
      <c r="S338" s="162"/>
      <c r="T338" s="1">
        <v>339.9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 t="shared" si="101"/>
        <v>339.9</v>
      </c>
      <c r="AB338" s="58">
        <v>2018</v>
      </c>
      <c r="AC338" s="123"/>
      <c r="AD338" s="100"/>
      <c r="AE338" s="100"/>
    </row>
    <row r="339" spans="1:31" x14ac:dyDescent="0.25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18</v>
      </c>
      <c r="F339" s="54" t="s">
        <v>18</v>
      </c>
      <c r="G339" s="54" t="s">
        <v>18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46</v>
      </c>
      <c r="R339" s="159"/>
      <c r="S339" s="162"/>
      <c r="T339" s="1">
        <f>T352+T353+T359+T360+T366+T367+T373+T374+T380+T381+T387+T388+T394+T395+T401+T402+T408+T409+T415+T421+T428+T427</f>
        <v>1913.5</v>
      </c>
      <c r="U339" s="1">
        <v>1308.8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101"/>
        <v>3222.3</v>
      </c>
      <c r="AB339" s="58">
        <v>2019</v>
      </c>
      <c r="AC339" s="123"/>
      <c r="AD339" s="100"/>
      <c r="AE339" s="100"/>
    </row>
    <row r="340" spans="1:31" x14ac:dyDescent="0.25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18</v>
      </c>
      <c r="F340" s="54" t="s">
        <v>18</v>
      </c>
      <c r="G340" s="54" t="s">
        <v>18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37</v>
      </c>
      <c r="N340" s="54" t="s">
        <v>18</v>
      </c>
      <c r="O340" s="54" t="s">
        <v>24</v>
      </c>
      <c r="P340" s="54" t="s">
        <v>22</v>
      </c>
      <c r="Q340" s="54" t="s">
        <v>39</v>
      </c>
      <c r="R340" s="159"/>
      <c r="S340" s="162"/>
      <c r="T340" s="1">
        <v>3197.7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101"/>
        <v>3197.7</v>
      </c>
      <c r="AB340" s="58">
        <v>2018</v>
      </c>
      <c r="AC340" s="123"/>
      <c r="AD340" s="100"/>
      <c r="AE340" s="100"/>
    </row>
    <row r="341" spans="1:31" x14ac:dyDescent="0.25">
      <c r="A341" s="54" t="s">
        <v>18</v>
      </c>
      <c r="B341" s="54" t="s">
        <v>18</v>
      </c>
      <c r="C341" s="54" t="s">
        <v>21</v>
      </c>
      <c r="D341" s="54" t="s">
        <v>18</v>
      </c>
      <c r="E341" s="54" t="s">
        <v>18</v>
      </c>
      <c r="F341" s="54" t="s">
        <v>18</v>
      </c>
      <c r="G341" s="54" t="s">
        <v>18</v>
      </c>
      <c r="H341" s="54" t="s">
        <v>19</v>
      </c>
      <c r="I341" s="54" t="s">
        <v>24</v>
      </c>
      <c r="J341" s="54" t="s">
        <v>18</v>
      </c>
      <c r="K341" s="54" t="s">
        <v>18</v>
      </c>
      <c r="L341" s="54" t="s">
        <v>20</v>
      </c>
      <c r="M341" s="54" t="s">
        <v>19</v>
      </c>
      <c r="N341" s="54" t="s">
        <v>18</v>
      </c>
      <c r="O341" s="54" t="s">
        <v>24</v>
      </c>
      <c r="P341" s="54" t="s">
        <v>22</v>
      </c>
      <c r="Q341" s="54" t="s">
        <v>18</v>
      </c>
      <c r="R341" s="159"/>
      <c r="S341" s="162"/>
      <c r="T341" s="1">
        <v>0</v>
      </c>
      <c r="U341" s="1">
        <f>4114.8-123.3</f>
        <v>3991.5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9">
        <f t="shared" si="101"/>
        <v>3991.5</v>
      </c>
      <c r="AB341" s="58">
        <v>2019</v>
      </c>
      <c r="AC341" s="123"/>
      <c r="AD341" s="100"/>
      <c r="AE341" s="100"/>
    </row>
    <row r="342" spans="1:31" x14ac:dyDescent="0.25">
      <c r="A342" s="54" t="s">
        <v>18</v>
      </c>
      <c r="B342" s="54" t="s">
        <v>18</v>
      </c>
      <c r="C342" s="54" t="s">
        <v>21</v>
      </c>
      <c r="D342" s="54" t="s">
        <v>18</v>
      </c>
      <c r="E342" s="54" t="s">
        <v>18</v>
      </c>
      <c r="F342" s="54" t="s">
        <v>18</v>
      </c>
      <c r="G342" s="54" t="s">
        <v>18</v>
      </c>
      <c r="H342" s="54" t="s">
        <v>19</v>
      </c>
      <c r="I342" s="54" t="s">
        <v>24</v>
      </c>
      <c r="J342" s="54" t="s">
        <v>18</v>
      </c>
      <c r="K342" s="54" t="s">
        <v>18</v>
      </c>
      <c r="L342" s="54" t="s">
        <v>20</v>
      </c>
      <c r="M342" s="54" t="s">
        <v>37</v>
      </c>
      <c r="N342" s="54" t="s">
        <v>18</v>
      </c>
      <c r="O342" s="54" t="s">
        <v>24</v>
      </c>
      <c r="P342" s="54" t="s">
        <v>22</v>
      </c>
      <c r="Q342" s="54" t="s">
        <v>18</v>
      </c>
      <c r="R342" s="159"/>
      <c r="S342" s="162"/>
      <c r="T342" s="1">
        <v>0</v>
      </c>
      <c r="U342" s="1">
        <f>3035.2-53.3</f>
        <v>2981.8999999999996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59">
        <f t="shared" si="101"/>
        <v>2981.8999999999996</v>
      </c>
      <c r="AB342" s="58">
        <v>2019</v>
      </c>
      <c r="AC342" s="123"/>
      <c r="AD342" s="100"/>
      <c r="AE342" s="100"/>
    </row>
    <row r="343" spans="1:31" x14ac:dyDescent="0.25">
      <c r="A343" s="54" t="s">
        <v>18</v>
      </c>
      <c r="B343" s="54" t="s">
        <v>18</v>
      </c>
      <c r="C343" s="54" t="s">
        <v>21</v>
      </c>
      <c r="D343" s="54" t="s">
        <v>18</v>
      </c>
      <c r="E343" s="54" t="s">
        <v>18</v>
      </c>
      <c r="F343" s="54" t="s">
        <v>18</v>
      </c>
      <c r="G343" s="54" t="s">
        <v>18</v>
      </c>
      <c r="H343" s="54" t="s">
        <v>19</v>
      </c>
      <c r="I343" s="54" t="s">
        <v>24</v>
      </c>
      <c r="J343" s="54" t="s">
        <v>18</v>
      </c>
      <c r="K343" s="54" t="s">
        <v>18</v>
      </c>
      <c r="L343" s="54" t="s">
        <v>20</v>
      </c>
      <c r="M343" s="54" t="s">
        <v>19</v>
      </c>
      <c r="N343" s="54" t="s">
        <v>18</v>
      </c>
      <c r="O343" s="54" t="s">
        <v>43</v>
      </c>
      <c r="P343" s="54" t="s">
        <v>22</v>
      </c>
      <c r="Q343" s="54" t="s">
        <v>18</v>
      </c>
      <c r="R343" s="159"/>
      <c r="S343" s="162"/>
      <c r="T343" s="1">
        <v>0</v>
      </c>
      <c r="U343" s="1">
        <f>215-7.5</f>
        <v>207.5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9">
        <f t="shared" si="101"/>
        <v>207.5</v>
      </c>
      <c r="AB343" s="58">
        <v>2019</v>
      </c>
      <c r="AC343" s="123"/>
      <c r="AD343" s="100"/>
      <c r="AE343" s="100"/>
    </row>
    <row r="344" spans="1:31" x14ac:dyDescent="0.25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18</v>
      </c>
      <c r="F344" s="54" t="s">
        <v>18</v>
      </c>
      <c r="G344" s="54" t="s">
        <v>18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37</v>
      </c>
      <c r="N344" s="54" t="s">
        <v>43</v>
      </c>
      <c r="O344" s="54" t="s">
        <v>18</v>
      </c>
      <c r="P344" s="54" t="s">
        <v>18</v>
      </c>
      <c r="Q344" s="54" t="s">
        <v>18</v>
      </c>
      <c r="R344" s="159"/>
      <c r="S344" s="162"/>
      <c r="T344" s="1">
        <v>0</v>
      </c>
      <c r="U344" s="1">
        <v>0</v>
      </c>
      <c r="V344" s="1">
        <v>0</v>
      </c>
      <c r="W344" s="1">
        <f>1891+153</f>
        <v>2044</v>
      </c>
      <c r="X344" s="1">
        <f>987.7+37</f>
        <v>1024.7</v>
      </c>
      <c r="Y344" s="1">
        <v>0</v>
      </c>
      <c r="Z344" s="1">
        <v>0</v>
      </c>
      <c r="AA344" s="59">
        <f t="shared" si="101"/>
        <v>3068.7</v>
      </c>
      <c r="AB344" s="58">
        <v>2022</v>
      </c>
      <c r="AC344" s="123"/>
      <c r="AD344" s="100"/>
      <c r="AE344" s="100"/>
    </row>
    <row r="345" spans="1:31" x14ac:dyDescent="0.25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18</v>
      </c>
      <c r="F345" s="54" t="s">
        <v>18</v>
      </c>
      <c r="G345" s="54" t="s">
        <v>18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19</v>
      </c>
      <c r="N345" s="54" t="s">
        <v>43</v>
      </c>
      <c r="O345" s="54" t="s">
        <v>18</v>
      </c>
      <c r="P345" s="54" t="s">
        <v>18</v>
      </c>
      <c r="Q345" s="54" t="s">
        <v>18</v>
      </c>
      <c r="R345" s="159"/>
      <c r="S345" s="162"/>
      <c r="T345" s="1">
        <v>0</v>
      </c>
      <c r="U345" s="1">
        <v>0</v>
      </c>
      <c r="V345" s="1">
        <v>0</v>
      </c>
      <c r="W345" s="1">
        <v>3135.4</v>
      </c>
      <c r="X345" s="1">
        <v>600</v>
      </c>
      <c r="Y345" s="1">
        <v>0</v>
      </c>
      <c r="Z345" s="1">
        <v>0</v>
      </c>
      <c r="AA345" s="59">
        <f t="shared" si="101"/>
        <v>3735.4</v>
      </c>
      <c r="AB345" s="58">
        <v>2022</v>
      </c>
      <c r="AC345" s="123"/>
      <c r="AD345" s="100"/>
      <c r="AE345" s="100"/>
    </row>
    <row r="346" spans="1:31" x14ac:dyDescent="0.25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18</v>
      </c>
      <c r="F346" s="54" t="s">
        <v>18</v>
      </c>
      <c r="G346" s="54" t="s">
        <v>18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37</v>
      </c>
      <c r="N346" s="54" t="s">
        <v>43</v>
      </c>
      <c r="O346" s="54" t="s">
        <v>46</v>
      </c>
      <c r="P346" s="54" t="s">
        <v>18</v>
      </c>
      <c r="Q346" s="54" t="s">
        <v>18</v>
      </c>
      <c r="R346" s="159"/>
      <c r="S346" s="162"/>
      <c r="T346" s="1">
        <v>0</v>
      </c>
      <c r="U346" s="1">
        <v>0</v>
      </c>
      <c r="V346" s="1">
        <v>0</v>
      </c>
      <c r="W346" s="1">
        <v>1195.0999999999999</v>
      </c>
      <c r="X346" s="1">
        <v>437.4</v>
      </c>
      <c r="Y346" s="1">
        <v>0</v>
      </c>
      <c r="Z346" s="1">
        <v>0</v>
      </c>
      <c r="AA346" s="59">
        <f t="shared" si="101"/>
        <v>1632.5</v>
      </c>
      <c r="AB346" s="58">
        <v>2022</v>
      </c>
      <c r="AC346" s="123"/>
      <c r="AD346" s="100"/>
      <c r="AE346" s="100"/>
    </row>
    <row r="347" spans="1:31" x14ac:dyDescent="0.25">
      <c r="A347" s="54" t="s">
        <v>18</v>
      </c>
      <c r="B347" s="54" t="s">
        <v>18</v>
      </c>
      <c r="C347" s="54" t="s">
        <v>21</v>
      </c>
      <c r="D347" s="54" t="s">
        <v>18</v>
      </c>
      <c r="E347" s="54" t="s">
        <v>18</v>
      </c>
      <c r="F347" s="54" t="s">
        <v>18</v>
      </c>
      <c r="G347" s="54" t="s">
        <v>18</v>
      </c>
      <c r="H347" s="54" t="s">
        <v>19</v>
      </c>
      <c r="I347" s="54" t="s">
        <v>24</v>
      </c>
      <c r="J347" s="54" t="s">
        <v>18</v>
      </c>
      <c r="K347" s="54" t="s">
        <v>18</v>
      </c>
      <c r="L347" s="54" t="s">
        <v>20</v>
      </c>
      <c r="M347" s="54" t="s">
        <v>19</v>
      </c>
      <c r="N347" s="54" t="s">
        <v>43</v>
      </c>
      <c r="O347" s="54" t="s">
        <v>22</v>
      </c>
      <c r="P347" s="54" t="s">
        <v>18</v>
      </c>
      <c r="Q347" s="54" t="s">
        <v>18</v>
      </c>
      <c r="R347" s="160"/>
      <c r="S347" s="163"/>
      <c r="T347" s="1">
        <v>0</v>
      </c>
      <c r="U347" s="1">
        <v>0</v>
      </c>
      <c r="V347" s="1">
        <v>0</v>
      </c>
      <c r="W347" s="1">
        <v>160</v>
      </c>
      <c r="X347" s="1">
        <v>0</v>
      </c>
      <c r="Y347" s="1">
        <v>0</v>
      </c>
      <c r="Z347" s="1">
        <v>0</v>
      </c>
      <c r="AA347" s="59">
        <f t="shared" si="101"/>
        <v>160</v>
      </c>
      <c r="AB347" s="58">
        <v>2021</v>
      </c>
      <c r="AC347" s="123"/>
      <c r="AD347" s="100"/>
      <c r="AE347" s="100"/>
    </row>
    <row r="348" spans="1:31" ht="47.25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80" t="s">
        <v>281</v>
      </c>
      <c r="S348" s="62" t="s">
        <v>52</v>
      </c>
      <c r="T348" s="3">
        <v>2.7</v>
      </c>
      <c r="U348" s="3">
        <v>1</v>
      </c>
      <c r="V348" s="3">
        <v>0</v>
      </c>
      <c r="W348" s="3">
        <v>2.2000000000000002</v>
      </c>
      <c r="X348" s="3">
        <v>1.9</v>
      </c>
      <c r="Y348" s="3">
        <v>0</v>
      </c>
      <c r="Z348" s="3">
        <v>0</v>
      </c>
      <c r="AA348" s="6">
        <f t="shared" si="99"/>
        <v>7.8000000000000007</v>
      </c>
      <c r="AB348" s="41">
        <v>2022</v>
      </c>
      <c r="AC348" s="9"/>
      <c r="AD348" s="100"/>
      <c r="AE348" s="100"/>
    </row>
    <row r="349" spans="1:31" ht="49.15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80" t="s">
        <v>282</v>
      </c>
      <c r="S349" s="84" t="s">
        <v>50</v>
      </c>
      <c r="T349" s="44">
        <v>11</v>
      </c>
      <c r="U349" s="44">
        <v>6</v>
      </c>
      <c r="V349" s="44">
        <v>0</v>
      </c>
      <c r="W349" s="44">
        <v>4</v>
      </c>
      <c r="X349" s="44">
        <v>1</v>
      </c>
      <c r="Y349" s="44">
        <v>0</v>
      </c>
      <c r="Z349" s="44">
        <v>0</v>
      </c>
      <c r="AA349" s="49">
        <f t="shared" si="99"/>
        <v>22</v>
      </c>
      <c r="AB349" s="41">
        <v>2022</v>
      </c>
      <c r="AC349" s="9"/>
      <c r="AD349" s="100"/>
      <c r="AE349" s="100"/>
    </row>
    <row r="350" spans="1:31" ht="15.6" hidden="1" customHeight="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164" t="s">
        <v>205</v>
      </c>
      <c r="S350" s="63" t="s">
        <v>0</v>
      </c>
      <c r="T350" s="1">
        <f>SUM(T351:T354)</f>
        <v>1027.7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96"/>
        <v>1027.7</v>
      </c>
      <c r="AB350" s="58">
        <v>2018</v>
      </c>
      <c r="AC350" s="9"/>
      <c r="AD350" s="100"/>
      <c r="AE350" s="100"/>
    </row>
    <row r="351" spans="1:31" ht="15.6" hidden="1" customHeight="1" x14ac:dyDescent="0.25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19</v>
      </c>
      <c r="N351" s="54" t="s">
        <v>18</v>
      </c>
      <c r="O351" s="54" t="s">
        <v>24</v>
      </c>
      <c r="P351" s="54" t="s">
        <v>22</v>
      </c>
      <c r="Q351" s="54" t="s">
        <v>45</v>
      </c>
      <c r="R351" s="164"/>
      <c r="S351" s="63" t="s">
        <v>0</v>
      </c>
      <c r="T351" s="1">
        <v>400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 t="shared" si="96"/>
        <v>400</v>
      </c>
      <c r="AB351" s="58">
        <v>2018</v>
      </c>
      <c r="AC351" s="9"/>
      <c r="AD351" s="100"/>
      <c r="AE351" s="100"/>
    </row>
    <row r="352" spans="1:31" ht="15.6" hidden="1" customHeight="1" x14ac:dyDescent="0.25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37</v>
      </c>
      <c r="N352" s="54" t="s">
        <v>18</v>
      </c>
      <c r="O352" s="54" t="s">
        <v>24</v>
      </c>
      <c r="P352" s="54" t="s">
        <v>22</v>
      </c>
      <c r="Q352" s="54" t="s">
        <v>46</v>
      </c>
      <c r="R352" s="164"/>
      <c r="S352" s="63" t="s">
        <v>0</v>
      </c>
      <c r="T352" s="1">
        <v>14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 t="shared" si="96"/>
        <v>14</v>
      </c>
      <c r="AB352" s="58">
        <v>2018</v>
      </c>
      <c r="AC352" s="9"/>
      <c r="AD352" s="100"/>
      <c r="AE352" s="100"/>
    </row>
    <row r="353" spans="1:31" ht="15.6" hidden="1" customHeight="1" x14ac:dyDescent="0.25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46</v>
      </c>
      <c r="R353" s="164"/>
      <c r="S353" s="63" t="s">
        <v>0</v>
      </c>
      <c r="T353" s="1">
        <v>157.4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96"/>
        <v>157.4</v>
      </c>
      <c r="AB353" s="58">
        <v>2018</v>
      </c>
      <c r="AC353" s="9"/>
      <c r="AD353" s="100"/>
      <c r="AE353" s="100"/>
    </row>
    <row r="354" spans="1:31" ht="15.6" hidden="1" customHeight="1" x14ac:dyDescent="0.25">
      <c r="A354" s="54" t="s">
        <v>18</v>
      </c>
      <c r="B354" s="54" t="s">
        <v>18</v>
      </c>
      <c r="C354" s="54" t="s">
        <v>21</v>
      </c>
      <c r="D354" s="54" t="s">
        <v>18</v>
      </c>
      <c r="E354" s="54" t="s">
        <v>21</v>
      </c>
      <c r="F354" s="54" t="s">
        <v>18</v>
      </c>
      <c r="G354" s="54" t="s">
        <v>22</v>
      </c>
      <c r="H354" s="54" t="s">
        <v>19</v>
      </c>
      <c r="I354" s="54" t="s">
        <v>24</v>
      </c>
      <c r="J354" s="54" t="s">
        <v>18</v>
      </c>
      <c r="K354" s="54" t="s">
        <v>18</v>
      </c>
      <c r="L354" s="54" t="s">
        <v>20</v>
      </c>
      <c r="M354" s="54" t="s">
        <v>37</v>
      </c>
      <c r="N354" s="54" t="s">
        <v>18</v>
      </c>
      <c r="O354" s="54" t="s">
        <v>24</v>
      </c>
      <c r="P354" s="54" t="s">
        <v>22</v>
      </c>
      <c r="Q354" s="54" t="s">
        <v>39</v>
      </c>
      <c r="R354" s="164"/>
      <c r="S354" s="63" t="s">
        <v>0</v>
      </c>
      <c r="T354" s="1">
        <v>456.3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9">
        <f t="shared" si="96"/>
        <v>456.3</v>
      </c>
      <c r="AB354" s="58">
        <v>2018</v>
      </c>
      <c r="AC354" s="9"/>
      <c r="AD354" s="100"/>
      <c r="AE354" s="100"/>
    </row>
    <row r="355" spans="1:31" ht="51" hidden="1" customHeight="1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80" t="s">
        <v>206</v>
      </c>
      <c r="S355" s="84" t="s">
        <v>167</v>
      </c>
      <c r="T355" s="3">
        <v>754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6">
        <f t="shared" si="96"/>
        <v>754</v>
      </c>
      <c r="AB355" s="41">
        <v>2018</v>
      </c>
      <c r="AC355" s="9"/>
      <c r="AD355" s="100"/>
      <c r="AE355" s="100"/>
    </row>
    <row r="356" spans="1:31" ht="16.149999999999999" hidden="1" customHeight="1" x14ac:dyDescent="0.2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164" t="s">
        <v>207</v>
      </c>
      <c r="S356" s="63" t="s">
        <v>0</v>
      </c>
      <c r="T356" s="1">
        <f>SUM(T357:T361)</f>
        <v>244.8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59">
        <f t="shared" si="96"/>
        <v>244.8</v>
      </c>
      <c r="AB356" s="58">
        <v>2018</v>
      </c>
      <c r="AC356" s="9"/>
      <c r="AD356" s="100"/>
      <c r="AE356" s="100"/>
    </row>
    <row r="357" spans="1:31" ht="16.149999999999999" hidden="1" customHeight="1" x14ac:dyDescent="0.25">
      <c r="A357" s="54" t="s">
        <v>18</v>
      </c>
      <c r="B357" s="54" t="s">
        <v>18</v>
      </c>
      <c r="C357" s="54" t="s">
        <v>21</v>
      </c>
      <c r="D357" s="54" t="s">
        <v>18</v>
      </c>
      <c r="E357" s="54" t="s">
        <v>21</v>
      </c>
      <c r="F357" s="54" t="s">
        <v>18</v>
      </c>
      <c r="G357" s="54" t="s">
        <v>22</v>
      </c>
      <c r="H357" s="54" t="s">
        <v>19</v>
      </c>
      <c r="I357" s="54" t="s">
        <v>24</v>
      </c>
      <c r="J357" s="54" t="s">
        <v>18</v>
      </c>
      <c r="K357" s="54" t="s">
        <v>18</v>
      </c>
      <c r="L357" s="54" t="s">
        <v>20</v>
      </c>
      <c r="M357" s="54" t="s">
        <v>19</v>
      </c>
      <c r="N357" s="54" t="s">
        <v>18</v>
      </c>
      <c r="O357" s="54" t="s">
        <v>24</v>
      </c>
      <c r="P357" s="54" t="s">
        <v>22</v>
      </c>
      <c r="Q357" s="54" t="s">
        <v>45</v>
      </c>
      <c r="R357" s="164"/>
      <c r="S357" s="63" t="s">
        <v>0</v>
      </c>
      <c r="T357" s="1">
        <v>97.9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96"/>
        <v>97.9</v>
      </c>
      <c r="AB357" s="58">
        <v>2018</v>
      </c>
      <c r="AC357" s="9"/>
      <c r="AD357" s="100"/>
      <c r="AE357" s="100"/>
    </row>
    <row r="358" spans="1:31" ht="16.149999999999999" hidden="1" customHeight="1" x14ac:dyDescent="0.25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19</v>
      </c>
      <c r="N358" s="54" t="s">
        <v>18</v>
      </c>
      <c r="O358" s="54" t="s">
        <v>43</v>
      </c>
      <c r="P358" s="54" t="s">
        <v>22</v>
      </c>
      <c r="Q358" s="54" t="s">
        <v>170</v>
      </c>
      <c r="R358" s="164"/>
      <c r="S358" s="63" t="s">
        <v>0</v>
      </c>
      <c r="T358" s="1">
        <v>15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96"/>
        <v>15</v>
      </c>
      <c r="AB358" s="58">
        <v>2018</v>
      </c>
      <c r="AC358" s="9"/>
      <c r="AD358" s="100"/>
      <c r="AE358" s="100"/>
    </row>
    <row r="359" spans="1:31" ht="16.149999999999999" hidden="1" customHeight="1" x14ac:dyDescent="0.25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37</v>
      </c>
      <c r="N359" s="54" t="s">
        <v>18</v>
      </c>
      <c r="O359" s="54" t="s">
        <v>24</v>
      </c>
      <c r="P359" s="54" t="s">
        <v>22</v>
      </c>
      <c r="Q359" s="54" t="s">
        <v>46</v>
      </c>
      <c r="R359" s="164"/>
      <c r="S359" s="63" t="s">
        <v>0</v>
      </c>
      <c r="T359" s="1">
        <v>4.9000000000000004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96"/>
        <v>4.9000000000000004</v>
      </c>
      <c r="AB359" s="58">
        <v>2018</v>
      </c>
      <c r="AC359" s="9"/>
      <c r="AD359" s="100"/>
      <c r="AE359" s="100"/>
    </row>
    <row r="360" spans="1:31" ht="16.149999999999999" hidden="1" customHeight="1" x14ac:dyDescent="0.25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46</v>
      </c>
      <c r="R360" s="164"/>
      <c r="S360" s="63" t="s">
        <v>0</v>
      </c>
      <c r="T360" s="1">
        <v>36.700000000000003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96"/>
        <v>36.700000000000003</v>
      </c>
      <c r="AB360" s="58">
        <v>2018</v>
      </c>
      <c r="AC360" s="9"/>
      <c r="AD360" s="100"/>
      <c r="AE360" s="100"/>
    </row>
    <row r="361" spans="1:31" ht="16.149999999999999" hidden="1" customHeight="1" x14ac:dyDescent="0.25">
      <c r="A361" s="54" t="s">
        <v>18</v>
      </c>
      <c r="B361" s="54" t="s">
        <v>18</v>
      </c>
      <c r="C361" s="54" t="s">
        <v>21</v>
      </c>
      <c r="D361" s="54" t="s">
        <v>18</v>
      </c>
      <c r="E361" s="54" t="s">
        <v>21</v>
      </c>
      <c r="F361" s="54" t="s">
        <v>18</v>
      </c>
      <c r="G361" s="54" t="s">
        <v>22</v>
      </c>
      <c r="H361" s="54" t="s">
        <v>19</v>
      </c>
      <c r="I361" s="54" t="s">
        <v>24</v>
      </c>
      <c r="J361" s="54" t="s">
        <v>18</v>
      </c>
      <c r="K361" s="54" t="s">
        <v>18</v>
      </c>
      <c r="L361" s="54" t="s">
        <v>20</v>
      </c>
      <c r="M361" s="54" t="s">
        <v>37</v>
      </c>
      <c r="N361" s="54" t="s">
        <v>18</v>
      </c>
      <c r="O361" s="54" t="s">
        <v>24</v>
      </c>
      <c r="P361" s="54" t="s">
        <v>22</v>
      </c>
      <c r="Q361" s="54" t="s">
        <v>39</v>
      </c>
      <c r="R361" s="164"/>
      <c r="S361" s="63" t="s">
        <v>0</v>
      </c>
      <c r="T361" s="1">
        <v>90.3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9">
        <f t="shared" si="96"/>
        <v>90.3</v>
      </c>
      <c r="AB361" s="58">
        <v>2018</v>
      </c>
      <c r="AC361" s="9"/>
      <c r="AD361" s="100"/>
      <c r="AE361" s="100"/>
    </row>
    <row r="362" spans="1:31" ht="52.15" hidden="1" customHeight="1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80" t="s">
        <v>208</v>
      </c>
      <c r="S362" s="84" t="s">
        <v>50</v>
      </c>
      <c r="T362" s="44">
        <v>10</v>
      </c>
      <c r="U362" s="44">
        <v>0</v>
      </c>
      <c r="V362" s="44">
        <v>0</v>
      </c>
      <c r="W362" s="44">
        <v>0</v>
      </c>
      <c r="X362" s="44">
        <v>0</v>
      </c>
      <c r="Y362" s="44">
        <v>0</v>
      </c>
      <c r="Z362" s="44">
        <v>0</v>
      </c>
      <c r="AA362" s="49">
        <f t="shared" si="96"/>
        <v>10</v>
      </c>
      <c r="AB362" s="41">
        <v>2018</v>
      </c>
      <c r="AC362" s="9"/>
      <c r="AD362" s="100"/>
      <c r="AE362" s="100"/>
    </row>
    <row r="363" spans="1:31" ht="16.350000000000001" hidden="1" customHeight="1" x14ac:dyDescent="0.25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164" t="s">
        <v>209</v>
      </c>
      <c r="S363" s="63" t="s">
        <v>0</v>
      </c>
      <c r="T363" s="1">
        <f>SUM(T364:T368)</f>
        <v>686.4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59">
        <f t="shared" ref="AA363:AA430" si="102">SUM(T363:Y363)</f>
        <v>686.4</v>
      </c>
      <c r="AB363" s="58">
        <v>2018</v>
      </c>
      <c r="AC363" s="9"/>
      <c r="AD363" s="100"/>
      <c r="AE363" s="100"/>
    </row>
    <row r="364" spans="1:31" ht="16.350000000000001" hidden="1" customHeight="1" x14ac:dyDescent="0.25">
      <c r="A364" s="54" t="s">
        <v>18</v>
      </c>
      <c r="B364" s="54" t="s">
        <v>18</v>
      </c>
      <c r="C364" s="54" t="s">
        <v>21</v>
      </c>
      <c r="D364" s="54" t="s">
        <v>18</v>
      </c>
      <c r="E364" s="54" t="s">
        <v>24</v>
      </c>
      <c r="F364" s="54" t="s">
        <v>18</v>
      </c>
      <c r="G364" s="54" t="s">
        <v>43</v>
      </c>
      <c r="H364" s="54" t="s">
        <v>19</v>
      </c>
      <c r="I364" s="54" t="s">
        <v>24</v>
      </c>
      <c r="J364" s="54" t="s">
        <v>18</v>
      </c>
      <c r="K364" s="54" t="s">
        <v>18</v>
      </c>
      <c r="L364" s="54" t="s">
        <v>20</v>
      </c>
      <c r="M364" s="54" t="s">
        <v>19</v>
      </c>
      <c r="N364" s="54" t="s">
        <v>18</v>
      </c>
      <c r="O364" s="54" t="s">
        <v>24</v>
      </c>
      <c r="P364" s="54" t="s">
        <v>22</v>
      </c>
      <c r="Q364" s="54" t="s">
        <v>45</v>
      </c>
      <c r="R364" s="164"/>
      <c r="S364" s="63" t="s">
        <v>0</v>
      </c>
      <c r="T364" s="1">
        <v>272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102"/>
        <v>272</v>
      </c>
      <c r="AB364" s="58">
        <v>2018</v>
      </c>
      <c r="AC364" s="9"/>
      <c r="AD364" s="100"/>
      <c r="AE364" s="100"/>
    </row>
    <row r="365" spans="1:31" ht="16.350000000000001" hidden="1" customHeight="1" x14ac:dyDescent="0.25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24</v>
      </c>
      <c r="F365" s="54" t="s">
        <v>18</v>
      </c>
      <c r="G365" s="54" t="s">
        <v>43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19</v>
      </c>
      <c r="N365" s="54" t="s">
        <v>18</v>
      </c>
      <c r="O365" s="54" t="s">
        <v>43</v>
      </c>
      <c r="P365" s="54" t="s">
        <v>22</v>
      </c>
      <c r="Q365" s="54" t="s">
        <v>170</v>
      </c>
      <c r="R365" s="164"/>
      <c r="S365" s="63" t="s">
        <v>0</v>
      </c>
      <c r="T365" s="1">
        <v>30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 t="shared" si="102"/>
        <v>30</v>
      </c>
      <c r="AB365" s="58">
        <v>2018</v>
      </c>
      <c r="AC365" s="9"/>
      <c r="AD365" s="100"/>
      <c r="AE365" s="100"/>
    </row>
    <row r="366" spans="1:31" ht="16.350000000000001" hidden="1" customHeight="1" x14ac:dyDescent="0.25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24</v>
      </c>
      <c r="F366" s="54" t="s">
        <v>18</v>
      </c>
      <c r="G366" s="54" t="s">
        <v>43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37</v>
      </c>
      <c r="N366" s="54" t="s">
        <v>18</v>
      </c>
      <c r="O366" s="54" t="s">
        <v>24</v>
      </c>
      <c r="P366" s="54" t="s">
        <v>22</v>
      </c>
      <c r="Q366" s="54" t="s">
        <v>46</v>
      </c>
      <c r="R366" s="164"/>
      <c r="S366" s="63" t="s">
        <v>0</v>
      </c>
      <c r="T366" s="1">
        <v>47.3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 t="shared" si="102"/>
        <v>47.3</v>
      </c>
      <c r="AB366" s="58">
        <v>2018</v>
      </c>
      <c r="AC366" s="9"/>
      <c r="AD366" s="100"/>
      <c r="AE366" s="100"/>
    </row>
    <row r="367" spans="1:31" ht="16.350000000000001" hidden="1" customHeight="1" x14ac:dyDescent="0.25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24</v>
      </c>
      <c r="F367" s="54" t="s">
        <v>18</v>
      </c>
      <c r="G367" s="54" t="s">
        <v>43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46</v>
      </c>
      <c r="R367" s="164"/>
      <c r="S367" s="63" t="s">
        <v>0</v>
      </c>
      <c r="T367" s="1">
        <v>68.599999999999994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102"/>
        <v>68.599999999999994</v>
      </c>
      <c r="AB367" s="58">
        <v>2018</v>
      </c>
      <c r="AC367" s="9"/>
      <c r="AD367" s="100"/>
      <c r="AE367" s="100"/>
    </row>
    <row r="368" spans="1:31" ht="16.350000000000001" hidden="1" customHeight="1" x14ac:dyDescent="0.25">
      <c r="A368" s="54" t="s">
        <v>18</v>
      </c>
      <c r="B368" s="54" t="s">
        <v>18</v>
      </c>
      <c r="C368" s="54" t="s">
        <v>21</v>
      </c>
      <c r="D368" s="54" t="s">
        <v>18</v>
      </c>
      <c r="E368" s="54" t="s">
        <v>24</v>
      </c>
      <c r="F368" s="54" t="s">
        <v>18</v>
      </c>
      <c r="G368" s="54" t="s">
        <v>43</v>
      </c>
      <c r="H368" s="54" t="s">
        <v>19</v>
      </c>
      <c r="I368" s="54" t="s">
        <v>24</v>
      </c>
      <c r="J368" s="54" t="s">
        <v>18</v>
      </c>
      <c r="K368" s="54" t="s">
        <v>18</v>
      </c>
      <c r="L368" s="54" t="s">
        <v>20</v>
      </c>
      <c r="M368" s="54" t="s">
        <v>37</v>
      </c>
      <c r="N368" s="54" t="s">
        <v>18</v>
      </c>
      <c r="O368" s="54" t="s">
        <v>24</v>
      </c>
      <c r="P368" s="54" t="s">
        <v>22</v>
      </c>
      <c r="Q368" s="54" t="s">
        <v>39</v>
      </c>
      <c r="R368" s="164"/>
      <c r="S368" s="63" t="s">
        <v>0</v>
      </c>
      <c r="T368" s="1">
        <v>268.5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9">
        <f t="shared" si="102"/>
        <v>268.5</v>
      </c>
      <c r="AB368" s="58">
        <v>2018</v>
      </c>
      <c r="AC368" s="9"/>
      <c r="AD368" s="100"/>
      <c r="AE368" s="100"/>
    </row>
    <row r="369" spans="1:31" ht="53.45" hidden="1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78" t="s">
        <v>210</v>
      </c>
      <c r="S369" s="84" t="s">
        <v>167</v>
      </c>
      <c r="T369" s="3">
        <v>285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102"/>
        <v>285</v>
      </c>
      <c r="AB369" s="41">
        <v>2018</v>
      </c>
      <c r="AC369" s="9"/>
      <c r="AD369" s="100"/>
      <c r="AE369" s="100"/>
    </row>
    <row r="370" spans="1:31" ht="16.350000000000001" hidden="1" customHeight="1" x14ac:dyDescent="0.25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164" t="s">
        <v>211</v>
      </c>
      <c r="S370" s="63" t="s">
        <v>0</v>
      </c>
      <c r="T370" s="1">
        <f>SUM(T371:T375)</f>
        <v>657.90000000000009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59">
        <f t="shared" si="102"/>
        <v>657.90000000000009</v>
      </c>
      <c r="AB370" s="58">
        <v>2018</v>
      </c>
      <c r="AC370" s="9"/>
      <c r="AD370" s="100"/>
      <c r="AE370" s="100"/>
    </row>
    <row r="371" spans="1:31" ht="16.350000000000001" hidden="1" customHeight="1" x14ac:dyDescent="0.25">
      <c r="A371" s="54" t="s">
        <v>18</v>
      </c>
      <c r="B371" s="54" t="s">
        <v>18</v>
      </c>
      <c r="C371" s="54" t="s">
        <v>21</v>
      </c>
      <c r="D371" s="54" t="s">
        <v>18</v>
      </c>
      <c r="E371" s="54" t="s">
        <v>21</v>
      </c>
      <c r="F371" s="54" t="s">
        <v>18</v>
      </c>
      <c r="G371" s="54" t="s">
        <v>22</v>
      </c>
      <c r="H371" s="54" t="s">
        <v>19</v>
      </c>
      <c r="I371" s="54" t="s">
        <v>24</v>
      </c>
      <c r="J371" s="54" t="s">
        <v>18</v>
      </c>
      <c r="K371" s="54" t="s">
        <v>18</v>
      </c>
      <c r="L371" s="54" t="s">
        <v>20</v>
      </c>
      <c r="M371" s="54" t="s">
        <v>19</v>
      </c>
      <c r="N371" s="54" t="s">
        <v>18</v>
      </c>
      <c r="O371" s="54" t="s">
        <v>24</v>
      </c>
      <c r="P371" s="54" t="s">
        <v>22</v>
      </c>
      <c r="Q371" s="54" t="s">
        <v>45</v>
      </c>
      <c r="R371" s="164"/>
      <c r="S371" s="63" t="s">
        <v>0</v>
      </c>
      <c r="T371" s="1">
        <v>263.10000000000002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 t="shared" si="102"/>
        <v>263.10000000000002</v>
      </c>
      <c r="AB371" s="58">
        <v>2018</v>
      </c>
      <c r="AC371" s="9"/>
      <c r="AD371" s="100"/>
      <c r="AE371" s="100"/>
    </row>
    <row r="372" spans="1:31" ht="16.350000000000001" hidden="1" customHeight="1" x14ac:dyDescent="0.25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19</v>
      </c>
      <c r="N372" s="54" t="s">
        <v>18</v>
      </c>
      <c r="O372" s="54" t="s">
        <v>43</v>
      </c>
      <c r="P372" s="54" t="s">
        <v>22</v>
      </c>
      <c r="Q372" s="54" t="s">
        <v>170</v>
      </c>
      <c r="R372" s="164"/>
      <c r="S372" s="63" t="s">
        <v>0</v>
      </c>
      <c r="T372" s="1">
        <v>40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>SUM(T372:Y372)</f>
        <v>40</v>
      </c>
      <c r="AB372" s="58">
        <v>2018</v>
      </c>
      <c r="AC372" s="9"/>
      <c r="AD372" s="100"/>
      <c r="AE372" s="100"/>
    </row>
    <row r="373" spans="1:31" ht="16.350000000000001" hidden="1" customHeight="1" x14ac:dyDescent="0.25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37</v>
      </c>
      <c r="N373" s="54" t="s">
        <v>18</v>
      </c>
      <c r="O373" s="54" t="s">
        <v>24</v>
      </c>
      <c r="P373" s="54" t="s">
        <v>22</v>
      </c>
      <c r="Q373" s="54" t="s">
        <v>46</v>
      </c>
      <c r="R373" s="164"/>
      <c r="S373" s="63" t="s">
        <v>0</v>
      </c>
      <c r="T373" s="1">
        <v>5.7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102"/>
        <v>5.7</v>
      </c>
      <c r="AB373" s="58">
        <v>2018</v>
      </c>
      <c r="AC373" s="9"/>
      <c r="AD373" s="100"/>
      <c r="AE373" s="100"/>
    </row>
    <row r="374" spans="1:31" ht="16.350000000000001" hidden="1" customHeight="1" x14ac:dyDescent="0.25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46</v>
      </c>
      <c r="R374" s="164"/>
      <c r="S374" s="63" t="s">
        <v>0</v>
      </c>
      <c r="T374" s="1">
        <v>98.8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102"/>
        <v>98.8</v>
      </c>
      <c r="AB374" s="58">
        <v>2018</v>
      </c>
      <c r="AC374" s="9"/>
      <c r="AD374" s="100"/>
      <c r="AE374" s="100"/>
    </row>
    <row r="375" spans="1:31" ht="16.350000000000001" hidden="1" customHeight="1" x14ac:dyDescent="0.25">
      <c r="A375" s="54" t="s">
        <v>18</v>
      </c>
      <c r="B375" s="54" t="s">
        <v>18</v>
      </c>
      <c r="C375" s="54" t="s">
        <v>21</v>
      </c>
      <c r="D375" s="54" t="s">
        <v>18</v>
      </c>
      <c r="E375" s="54" t="s">
        <v>21</v>
      </c>
      <c r="F375" s="54" t="s">
        <v>18</v>
      </c>
      <c r="G375" s="54" t="s">
        <v>22</v>
      </c>
      <c r="H375" s="54" t="s">
        <v>19</v>
      </c>
      <c r="I375" s="54" t="s">
        <v>24</v>
      </c>
      <c r="J375" s="54" t="s">
        <v>18</v>
      </c>
      <c r="K375" s="54" t="s">
        <v>18</v>
      </c>
      <c r="L375" s="54" t="s">
        <v>20</v>
      </c>
      <c r="M375" s="54" t="s">
        <v>37</v>
      </c>
      <c r="N375" s="54" t="s">
        <v>18</v>
      </c>
      <c r="O375" s="54" t="s">
        <v>24</v>
      </c>
      <c r="P375" s="54" t="s">
        <v>22</v>
      </c>
      <c r="Q375" s="54" t="s">
        <v>39</v>
      </c>
      <c r="R375" s="164"/>
      <c r="S375" s="63" t="s">
        <v>0</v>
      </c>
      <c r="T375" s="1">
        <v>250.3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9">
        <f t="shared" si="102"/>
        <v>250.3</v>
      </c>
      <c r="AB375" s="58">
        <v>2018</v>
      </c>
      <c r="AC375" s="9"/>
      <c r="AD375" s="100"/>
      <c r="AE375" s="100"/>
    </row>
    <row r="376" spans="1:31" ht="37.15" hidden="1" customHeight="1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80" t="s">
        <v>212</v>
      </c>
      <c r="S376" s="84" t="s">
        <v>167</v>
      </c>
      <c r="T376" s="3">
        <v>443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6">
        <f t="shared" si="102"/>
        <v>443</v>
      </c>
      <c r="AB376" s="41">
        <v>2018</v>
      </c>
      <c r="AC376" s="9"/>
      <c r="AD376" s="100"/>
      <c r="AE376" s="100"/>
    </row>
    <row r="377" spans="1:31" ht="18.600000000000001" hidden="1" customHeight="1" x14ac:dyDescent="0.25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164" t="s">
        <v>213</v>
      </c>
      <c r="S377" s="63" t="s">
        <v>0</v>
      </c>
      <c r="T377" s="1">
        <f>SUM(T378:T382)</f>
        <v>1100.4000000000001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59">
        <f t="shared" si="102"/>
        <v>1100.4000000000001</v>
      </c>
      <c r="AB377" s="58">
        <v>2018</v>
      </c>
      <c r="AC377" s="9"/>
      <c r="AD377" s="100"/>
      <c r="AE377" s="100"/>
    </row>
    <row r="378" spans="1:31" ht="16.350000000000001" hidden="1" customHeight="1" x14ac:dyDescent="0.25">
      <c r="A378" s="54" t="s">
        <v>18</v>
      </c>
      <c r="B378" s="54" t="s">
        <v>18</v>
      </c>
      <c r="C378" s="54" t="s">
        <v>21</v>
      </c>
      <c r="D378" s="54" t="s">
        <v>18</v>
      </c>
      <c r="E378" s="54" t="s">
        <v>21</v>
      </c>
      <c r="F378" s="54" t="s">
        <v>18</v>
      </c>
      <c r="G378" s="54" t="s">
        <v>22</v>
      </c>
      <c r="H378" s="54" t="s">
        <v>19</v>
      </c>
      <c r="I378" s="54" t="s">
        <v>24</v>
      </c>
      <c r="J378" s="54" t="s">
        <v>18</v>
      </c>
      <c r="K378" s="54" t="s">
        <v>18</v>
      </c>
      <c r="L378" s="54" t="s">
        <v>20</v>
      </c>
      <c r="M378" s="54" t="s">
        <v>19</v>
      </c>
      <c r="N378" s="54" t="s">
        <v>18</v>
      </c>
      <c r="O378" s="54" t="s">
        <v>24</v>
      </c>
      <c r="P378" s="54" t="s">
        <v>22</v>
      </c>
      <c r="Q378" s="54" t="s">
        <v>45</v>
      </c>
      <c r="R378" s="164"/>
      <c r="S378" s="63" t="s">
        <v>0</v>
      </c>
      <c r="T378" s="1">
        <v>400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102"/>
        <v>400</v>
      </c>
      <c r="AB378" s="58">
        <v>2018</v>
      </c>
      <c r="AC378" s="9"/>
      <c r="AD378" s="100"/>
      <c r="AE378" s="100"/>
    </row>
    <row r="379" spans="1:31" ht="16.350000000000001" hidden="1" customHeight="1" x14ac:dyDescent="0.25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21</v>
      </c>
      <c r="F379" s="54" t="s">
        <v>18</v>
      </c>
      <c r="G379" s="54" t="s">
        <v>22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19</v>
      </c>
      <c r="N379" s="54" t="s">
        <v>18</v>
      </c>
      <c r="O379" s="54" t="s">
        <v>43</v>
      </c>
      <c r="P379" s="54" t="s">
        <v>22</v>
      </c>
      <c r="Q379" s="54" t="s">
        <v>170</v>
      </c>
      <c r="R379" s="164"/>
      <c r="S379" s="63" t="s">
        <v>0</v>
      </c>
      <c r="T379" s="1">
        <v>40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102"/>
        <v>40</v>
      </c>
      <c r="AB379" s="58">
        <v>2018</v>
      </c>
      <c r="AC379" s="9"/>
      <c r="AD379" s="100"/>
      <c r="AE379" s="100"/>
    </row>
    <row r="380" spans="1:31" ht="16.350000000000001" hidden="1" customHeight="1" x14ac:dyDescent="0.25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21</v>
      </c>
      <c r="F380" s="54" t="s">
        <v>18</v>
      </c>
      <c r="G380" s="54" t="s">
        <v>22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37</v>
      </c>
      <c r="N380" s="54" t="s">
        <v>18</v>
      </c>
      <c r="O380" s="54" t="s">
        <v>24</v>
      </c>
      <c r="P380" s="54" t="s">
        <v>22</v>
      </c>
      <c r="Q380" s="54" t="s">
        <v>46</v>
      </c>
      <c r="R380" s="164"/>
      <c r="S380" s="63" t="s">
        <v>0</v>
      </c>
      <c r="T380" s="1">
        <v>30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 t="shared" si="102"/>
        <v>30</v>
      </c>
      <c r="AB380" s="58">
        <v>2018</v>
      </c>
      <c r="AC380" s="9"/>
      <c r="AD380" s="100"/>
      <c r="AE380" s="100"/>
    </row>
    <row r="381" spans="1:31" ht="16.350000000000001" hidden="1" customHeight="1" x14ac:dyDescent="0.25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21</v>
      </c>
      <c r="F381" s="54" t="s">
        <v>18</v>
      </c>
      <c r="G381" s="54" t="s">
        <v>22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46</v>
      </c>
      <c r="R381" s="164"/>
      <c r="S381" s="63" t="s">
        <v>0</v>
      </c>
      <c r="T381" s="1">
        <v>166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102"/>
        <v>166</v>
      </c>
      <c r="AB381" s="58">
        <v>2018</v>
      </c>
      <c r="AC381" s="9"/>
      <c r="AD381" s="100"/>
      <c r="AE381" s="100"/>
    </row>
    <row r="382" spans="1:31" ht="16.350000000000001" hidden="1" customHeight="1" x14ac:dyDescent="0.25">
      <c r="A382" s="54" t="s">
        <v>18</v>
      </c>
      <c r="B382" s="54" t="s">
        <v>18</v>
      </c>
      <c r="C382" s="54" t="s">
        <v>21</v>
      </c>
      <c r="D382" s="54" t="s">
        <v>18</v>
      </c>
      <c r="E382" s="54" t="s">
        <v>21</v>
      </c>
      <c r="F382" s="54" t="s">
        <v>18</v>
      </c>
      <c r="G382" s="54" t="s">
        <v>22</v>
      </c>
      <c r="H382" s="54" t="s">
        <v>19</v>
      </c>
      <c r="I382" s="54" t="s">
        <v>24</v>
      </c>
      <c r="J382" s="54" t="s">
        <v>18</v>
      </c>
      <c r="K382" s="54" t="s">
        <v>18</v>
      </c>
      <c r="L382" s="54" t="s">
        <v>20</v>
      </c>
      <c r="M382" s="54" t="s">
        <v>37</v>
      </c>
      <c r="N382" s="54" t="s">
        <v>18</v>
      </c>
      <c r="O382" s="54" t="s">
        <v>24</v>
      </c>
      <c r="P382" s="54" t="s">
        <v>22</v>
      </c>
      <c r="Q382" s="54" t="s">
        <v>39</v>
      </c>
      <c r="R382" s="164"/>
      <c r="S382" s="63" t="s">
        <v>0</v>
      </c>
      <c r="T382" s="1">
        <v>464.4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59">
        <f t="shared" si="102"/>
        <v>464.4</v>
      </c>
      <c r="AB382" s="58">
        <v>2018</v>
      </c>
      <c r="AC382" s="9"/>
      <c r="AD382" s="100"/>
      <c r="AE382" s="100"/>
    </row>
    <row r="383" spans="1:31" ht="37.15" hidden="1" customHeight="1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80" t="s">
        <v>214</v>
      </c>
      <c r="S383" s="84" t="s">
        <v>167</v>
      </c>
      <c r="T383" s="3">
        <v>930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6">
        <f t="shared" si="102"/>
        <v>930</v>
      </c>
      <c r="AB383" s="41">
        <v>2018</v>
      </c>
      <c r="AC383" s="9"/>
      <c r="AD383" s="100"/>
      <c r="AE383" s="100"/>
    </row>
    <row r="384" spans="1:31" ht="22.15" hidden="1" customHeight="1" x14ac:dyDescent="0.25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164" t="s">
        <v>215</v>
      </c>
      <c r="S384" s="63" t="s">
        <v>0</v>
      </c>
      <c r="T384" s="1">
        <f>SUM(T385:T389)</f>
        <v>1421.6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59">
        <f t="shared" si="102"/>
        <v>1421.6</v>
      </c>
      <c r="AB384" s="58">
        <v>2018</v>
      </c>
      <c r="AC384" s="9"/>
      <c r="AD384" s="100"/>
      <c r="AE384" s="100"/>
    </row>
    <row r="385" spans="1:31" ht="16.350000000000001" hidden="1" customHeight="1" x14ac:dyDescent="0.25">
      <c r="A385" s="54" t="s">
        <v>18</v>
      </c>
      <c r="B385" s="54" t="s">
        <v>18</v>
      </c>
      <c r="C385" s="54" t="s">
        <v>21</v>
      </c>
      <c r="D385" s="54" t="s">
        <v>18</v>
      </c>
      <c r="E385" s="54" t="s">
        <v>21</v>
      </c>
      <c r="F385" s="54" t="s">
        <v>18</v>
      </c>
      <c r="G385" s="54" t="s">
        <v>22</v>
      </c>
      <c r="H385" s="54" t="s">
        <v>19</v>
      </c>
      <c r="I385" s="54" t="s">
        <v>24</v>
      </c>
      <c r="J385" s="54" t="s">
        <v>18</v>
      </c>
      <c r="K385" s="54" t="s">
        <v>18</v>
      </c>
      <c r="L385" s="54" t="s">
        <v>20</v>
      </c>
      <c r="M385" s="54" t="s">
        <v>19</v>
      </c>
      <c r="N385" s="54" t="s">
        <v>18</v>
      </c>
      <c r="O385" s="54" t="s">
        <v>24</v>
      </c>
      <c r="P385" s="54" t="s">
        <v>22</v>
      </c>
      <c r="Q385" s="54" t="s">
        <v>45</v>
      </c>
      <c r="R385" s="164"/>
      <c r="S385" s="63" t="s">
        <v>0</v>
      </c>
      <c r="T385" s="1">
        <v>400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 t="shared" si="102"/>
        <v>400</v>
      </c>
      <c r="AB385" s="58">
        <v>2018</v>
      </c>
      <c r="AC385" s="9"/>
      <c r="AD385" s="100"/>
      <c r="AE385" s="100"/>
    </row>
    <row r="386" spans="1:31" ht="16.350000000000001" hidden="1" customHeight="1" x14ac:dyDescent="0.25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19</v>
      </c>
      <c r="N386" s="54" t="s">
        <v>18</v>
      </c>
      <c r="O386" s="54" t="s">
        <v>43</v>
      </c>
      <c r="P386" s="54" t="s">
        <v>22</v>
      </c>
      <c r="Q386" s="54" t="s">
        <v>170</v>
      </c>
      <c r="R386" s="164"/>
      <c r="S386" s="63" t="s">
        <v>0</v>
      </c>
      <c r="T386" s="1">
        <v>50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>SUM(T386:Y386)</f>
        <v>50</v>
      </c>
      <c r="AB386" s="58">
        <v>2018</v>
      </c>
      <c r="AC386" s="9"/>
      <c r="AD386" s="100"/>
      <c r="AE386" s="100"/>
    </row>
    <row r="387" spans="1:31" ht="16.350000000000001" hidden="1" customHeight="1" x14ac:dyDescent="0.25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37</v>
      </c>
      <c r="N387" s="54" t="s">
        <v>18</v>
      </c>
      <c r="O387" s="54" t="s">
        <v>24</v>
      </c>
      <c r="P387" s="54" t="s">
        <v>22</v>
      </c>
      <c r="Q387" s="54" t="s">
        <v>46</v>
      </c>
      <c r="R387" s="164"/>
      <c r="S387" s="63" t="s">
        <v>0</v>
      </c>
      <c r="T387" s="1">
        <v>83.1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102"/>
        <v>83.1</v>
      </c>
      <c r="AB387" s="58">
        <v>2018</v>
      </c>
      <c r="AC387" s="9"/>
      <c r="AD387" s="100"/>
      <c r="AE387" s="100"/>
    </row>
    <row r="388" spans="1:31" ht="16.350000000000001" hidden="1" customHeight="1" x14ac:dyDescent="0.25">
      <c r="A388" s="54" t="s">
        <v>18</v>
      </c>
      <c r="B388" s="54" t="s">
        <v>18</v>
      </c>
      <c r="C388" s="54" t="s">
        <v>21</v>
      </c>
      <c r="D388" s="54" t="s">
        <v>18</v>
      </c>
      <c r="E388" s="54" t="s">
        <v>21</v>
      </c>
      <c r="F388" s="54" t="s">
        <v>18</v>
      </c>
      <c r="G388" s="54" t="s">
        <v>22</v>
      </c>
      <c r="H388" s="54" t="s">
        <v>19</v>
      </c>
      <c r="I388" s="54" t="s">
        <v>24</v>
      </c>
      <c r="J388" s="54" t="s">
        <v>18</v>
      </c>
      <c r="K388" s="54" t="s">
        <v>18</v>
      </c>
      <c r="L388" s="54" t="s">
        <v>20</v>
      </c>
      <c r="M388" s="54" t="s">
        <v>37</v>
      </c>
      <c r="N388" s="54" t="s">
        <v>18</v>
      </c>
      <c r="O388" s="54" t="s">
        <v>24</v>
      </c>
      <c r="P388" s="54" t="s">
        <v>22</v>
      </c>
      <c r="Q388" s="54" t="s">
        <v>46</v>
      </c>
      <c r="R388" s="164"/>
      <c r="S388" s="63" t="s">
        <v>0</v>
      </c>
      <c r="T388" s="1">
        <v>143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9">
        <f t="shared" si="102"/>
        <v>143</v>
      </c>
      <c r="AB388" s="58">
        <v>2018</v>
      </c>
      <c r="AC388" s="9"/>
      <c r="AD388" s="100"/>
      <c r="AE388" s="100"/>
    </row>
    <row r="389" spans="1:31" ht="16.350000000000001" hidden="1" customHeight="1" x14ac:dyDescent="0.25">
      <c r="A389" s="54" t="s">
        <v>18</v>
      </c>
      <c r="B389" s="54" t="s">
        <v>18</v>
      </c>
      <c r="C389" s="54" t="s">
        <v>21</v>
      </c>
      <c r="D389" s="54" t="s">
        <v>18</v>
      </c>
      <c r="E389" s="54" t="s">
        <v>21</v>
      </c>
      <c r="F389" s="54" t="s">
        <v>18</v>
      </c>
      <c r="G389" s="54" t="s">
        <v>22</v>
      </c>
      <c r="H389" s="54" t="s">
        <v>19</v>
      </c>
      <c r="I389" s="54" t="s">
        <v>24</v>
      </c>
      <c r="J389" s="54" t="s">
        <v>18</v>
      </c>
      <c r="K389" s="54" t="s">
        <v>18</v>
      </c>
      <c r="L389" s="54" t="s">
        <v>20</v>
      </c>
      <c r="M389" s="54" t="s">
        <v>37</v>
      </c>
      <c r="N389" s="54" t="s">
        <v>18</v>
      </c>
      <c r="O389" s="54" t="s">
        <v>24</v>
      </c>
      <c r="P389" s="54" t="s">
        <v>22</v>
      </c>
      <c r="Q389" s="54" t="s">
        <v>39</v>
      </c>
      <c r="R389" s="164"/>
      <c r="S389" s="63" t="s">
        <v>0</v>
      </c>
      <c r="T389" s="1">
        <v>745.5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9">
        <f t="shared" si="102"/>
        <v>745.5</v>
      </c>
      <c r="AB389" s="58">
        <v>2018</v>
      </c>
      <c r="AC389" s="9"/>
      <c r="AD389" s="100"/>
      <c r="AE389" s="100"/>
    </row>
    <row r="390" spans="1:31" ht="36.6" hidden="1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80" t="s">
        <v>216</v>
      </c>
      <c r="S390" s="84" t="s">
        <v>167</v>
      </c>
      <c r="T390" s="3">
        <v>1070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6">
        <f t="shared" si="102"/>
        <v>1070</v>
      </c>
      <c r="AB390" s="41">
        <v>2018</v>
      </c>
      <c r="AC390" s="9"/>
      <c r="AD390" s="100"/>
      <c r="AE390" s="100"/>
    </row>
    <row r="391" spans="1:31" ht="19.899999999999999" hidden="1" customHeight="1" x14ac:dyDescent="0.25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164" t="s">
        <v>217</v>
      </c>
      <c r="S391" s="63" t="s">
        <v>0</v>
      </c>
      <c r="T391" s="1">
        <f>SUM(T392:T396)</f>
        <v>263.89999999999998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59">
        <f t="shared" si="102"/>
        <v>263.89999999999998</v>
      </c>
      <c r="AB391" s="58">
        <v>2018</v>
      </c>
      <c r="AC391" s="9"/>
      <c r="AD391" s="100"/>
      <c r="AE391" s="100"/>
    </row>
    <row r="392" spans="1:31" ht="16.350000000000001" hidden="1" customHeight="1" x14ac:dyDescent="0.25">
      <c r="A392" s="54" t="s">
        <v>18</v>
      </c>
      <c r="B392" s="54" t="s">
        <v>18</v>
      </c>
      <c r="C392" s="54" t="s">
        <v>21</v>
      </c>
      <c r="D392" s="54" t="s">
        <v>18</v>
      </c>
      <c r="E392" s="54" t="s">
        <v>21</v>
      </c>
      <c r="F392" s="54" t="s">
        <v>18</v>
      </c>
      <c r="G392" s="54" t="s">
        <v>22</v>
      </c>
      <c r="H392" s="54" t="s">
        <v>19</v>
      </c>
      <c r="I392" s="54" t="s">
        <v>24</v>
      </c>
      <c r="J392" s="54" t="s">
        <v>18</v>
      </c>
      <c r="K392" s="54" t="s">
        <v>18</v>
      </c>
      <c r="L392" s="54" t="s">
        <v>20</v>
      </c>
      <c r="M392" s="54" t="s">
        <v>19</v>
      </c>
      <c r="N392" s="54" t="s">
        <v>18</v>
      </c>
      <c r="O392" s="54" t="s">
        <v>24</v>
      </c>
      <c r="P392" s="54" t="s">
        <v>22</v>
      </c>
      <c r="Q392" s="54" t="s">
        <v>45</v>
      </c>
      <c r="R392" s="164"/>
      <c r="S392" s="63" t="s">
        <v>0</v>
      </c>
      <c r="T392" s="1">
        <v>105.5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102"/>
        <v>105.5</v>
      </c>
      <c r="AB392" s="58">
        <v>2018</v>
      </c>
      <c r="AC392" s="9"/>
      <c r="AD392" s="100"/>
      <c r="AE392" s="100"/>
    </row>
    <row r="393" spans="1:31" ht="16.350000000000001" hidden="1" customHeight="1" x14ac:dyDescent="0.25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19</v>
      </c>
      <c r="N393" s="54" t="s">
        <v>18</v>
      </c>
      <c r="O393" s="54" t="s">
        <v>43</v>
      </c>
      <c r="P393" s="54" t="s">
        <v>22</v>
      </c>
      <c r="Q393" s="54" t="s">
        <v>170</v>
      </c>
      <c r="R393" s="164"/>
      <c r="S393" s="63" t="s">
        <v>0</v>
      </c>
      <c r="T393" s="1">
        <v>20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102"/>
        <v>20</v>
      </c>
      <c r="AB393" s="58">
        <v>2018</v>
      </c>
      <c r="AC393" s="9"/>
      <c r="AD393" s="100"/>
      <c r="AE393" s="100"/>
    </row>
    <row r="394" spans="1:31" ht="16.350000000000001" hidden="1" customHeight="1" x14ac:dyDescent="0.25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24</v>
      </c>
      <c r="P394" s="54" t="s">
        <v>22</v>
      </c>
      <c r="Q394" s="54" t="s">
        <v>46</v>
      </c>
      <c r="R394" s="164"/>
      <c r="S394" s="63" t="s">
        <v>0</v>
      </c>
      <c r="T394" s="1">
        <v>19.399999999999999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102"/>
        <v>19.399999999999999</v>
      </c>
      <c r="AB394" s="58">
        <v>2018</v>
      </c>
      <c r="AC394" s="9"/>
      <c r="AD394" s="100"/>
      <c r="AE394" s="100"/>
    </row>
    <row r="395" spans="1:31" ht="16.350000000000001" hidden="1" customHeight="1" x14ac:dyDescent="0.25">
      <c r="A395" s="54" t="s">
        <v>18</v>
      </c>
      <c r="B395" s="54" t="s">
        <v>18</v>
      </c>
      <c r="C395" s="54" t="s">
        <v>21</v>
      </c>
      <c r="D395" s="54" t="s">
        <v>18</v>
      </c>
      <c r="E395" s="54" t="s">
        <v>21</v>
      </c>
      <c r="F395" s="54" t="s">
        <v>18</v>
      </c>
      <c r="G395" s="54" t="s">
        <v>22</v>
      </c>
      <c r="H395" s="54" t="s">
        <v>19</v>
      </c>
      <c r="I395" s="54" t="s">
        <v>24</v>
      </c>
      <c r="J395" s="54" t="s">
        <v>18</v>
      </c>
      <c r="K395" s="54" t="s">
        <v>18</v>
      </c>
      <c r="L395" s="54" t="s">
        <v>20</v>
      </c>
      <c r="M395" s="54" t="s">
        <v>37</v>
      </c>
      <c r="N395" s="54" t="s">
        <v>18</v>
      </c>
      <c r="O395" s="54" t="s">
        <v>24</v>
      </c>
      <c r="P395" s="54" t="s">
        <v>22</v>
      </c>
      <c r="Q395" s="54" t="s">
        <v>46</v>
      </c>
      <c r="R395" s="164"/>
      <c r="S395" s="63" t="s">
        <v>0</v>
      </c>
      <c r="T395" s="1">
        <v>39.6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9">
        <f t="shared" si="102"/>
        <v>39.6</v>
      </c>
      <c r="AB395" s="58">
        <v>2018</v>
      </c>
      <c r="AC395" s="9"/>
      <c r="AD395" s="100"/>
      <c r="AE395" s="100"/>
    </row>
    <row r="396" spans="1:31" ht="16.350000000000001" hidden="1" customHeight="1" x14ac:dyDescent="0.25">
      <c r="A396" s="54" t="s">
        <v>18</v>
      </c>
      <c r="B396" s="54" t="s">
        <v>18</v>
      </c>
      <c r="C396" s="54" t="s">
        <v>21</v>
      </c>
      <c r="D396" s="54" t="s">
        <v>18</v>
      </c>
      <c r="E396" s="54" t="s">
        <v>21</v>
      </c>
      <c r="F396" s="54" t="s">
        <v>18</v>
      </c>
      <c r="G396" s="54" t="s">
        <v>22</v>
      </c>
      <c r="H396" s="54" t="s">
        <v>19</v>
      </c>
      <c r="I396" s="54" t="s">
        <v>24</v>
      </c>
      <c r="J396" s="54" t="s">
        <v>18</v>
      </c>
      <c r="K396" s="54" t="s">
        <v>18</v>
      </c>
      <c r="L396" s="54" t="s">
        <v>20</v>
      </c>
      <c r="M396" s="54" t="s">
        <v>37</v>
      </c>
      <c r="N396" s="54" t="s">
        <v>18</v>
      </c>
      <c r="O396" s="54" t="s">
        <v>24</v>
      </c>
      <c r="P396" s="54" t="s">
        <v>22</v>
      </c>
      <c r="Q396" s="54" t="s">
        <v>39</v>
      </c>
      <c r="R396" s="164"/>
      <c r="S396" s="63" t="s">
        <v>0</v>
      </c>
      <c r="T396" s="1">
        <v>79.400000000000006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59">
        <f t="shared" si="102"/>
        <v>79.400000000000006</v>
      </c>
      <c r="AB396" s="58">
        <v>2018</v>
      </c>
      <c r="AC396" s="9"/>
      <c r="AD396" s="100"/>
      <c r="AE396" s="100"/>
    </row>
    <row r="397" spans="1:31" ht="36.6" hidden="1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80" t="s">
        <v>218</v>
      </c>
      <c r="S397" s="84" t="s">
        <v>8</v>
      </c>
      <c r="T397" s="44">
        <v>5</v>
      </c>
      <c r="U397" s="44">
        <v>0</v>
      </c>
      <c r="V397" s="44">
        <v>0</v>
      </c>
      <c r="W397" s="44">
        <v>0</v>
      </c>
      <c r="X397" s="44">
        <v>0</v>
      </c>
      <c r="Y397" s="44">
        <v>0</v>
      </c>
      <c r="Z397" s="44">
        <v>0</v>
      </c>
      <c r="AA397" s="6">
        <f t="shared" si="102"/>
        <v>5</v>
      </c>
      <c r="AB397" s="41">
        <v>2018</v>
      </c>
      <c r="AC397" s="9"/>
      <c r="AD397" s="100"/>
      <c r="AE397" s="100"/>
    </row>
    <row r="398" spans="1:31" ht="15.6" hidden="1" customHeight="1" x14ac:dyDescent="0.2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164" t="s">
        <v>219</v>
      </c>
      <c r="S398" s="63" t="s">
        <v>0</v>
      </c>
      <c r="T398" s="1">
        <f>SUM(T399:T403)</f>
        <v>490.3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102"/>
        <v>490.3</v>
      </c>
      <c r="AB398" s="58">
        <v>2018</v>
      </c>
      <c r="AC398" s="9"/>
      <c r="AD398" s="100"/>
      <c r="AE398" s="100"/>
    </row>
    <row r="399" spans="1:31" ht="15.6" hidden="1" customHeight="1" x14ac:dyDescent="0.25">
      <c r="A399" s="54" t="s">
        <v>18</v>
      </c>
      <c r="B399" s="54" t="s">
        <v>18</v>
      </c>
      <c r="C399" s="54" t="s">
        <v>21</v>
      </c>
      <c r="D399" s="54" t="s">
        <v>18</v>
      </c>
      <c r="E399" s="54" t="s">
        <v>24</v>
      </c>
      <c r="F399" s="54" t="s">
        <v>18</v>
      </c>
      <c r="G399" s="54" t="s">
        <v>43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19</v>
      </c>
      <c r="N399" s="54" t="s">
        <v>18</v>
      </c>
      <c r="O399" s="54" t="s">
        <v>24</v>
      </c>
      <c r="P399" s="54" t="s">
        <v>22</v>
      </c>
      <c r="Q399" s="54" t="s">
        <v>45</v>
      </c>
      <c r="R399" s="164"/>
      <c r="S399" s="63" t="s">
        <v>0</v>
      </c>
      <c r="T399" s="1">
        <v>196.1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 t="shared" si="102"/>
        <v>196.1</v>
      </c>
      <c r="AB399" s="58">
        <v>2018</v>
      </c>
      <c r="AC399" s="9"/>
      <c r="AD399" s="100"/>
      <c r="AE399" s="100"/>
    </row>
    <row r="400" spans="1:31" ht="15.6" hidden="1" customHeight="1" x14ac:dyDescent="0.25">
      <c r="A400" s="54" t="s">
        <v>18</v>
      </c>
      <c r="B400" s="54" t="s">
        <v>18</v>
      </c>
      <c r="C400" s="54" t="s">
        <v>21</v>
      </c>
      <c r="D400" s="54" t="s">
        <v>18</v>
      </c>
      <c r="E400" s="54" t="s">
        <v>24</v>
      </c>
      <c r="F400" s="54" t="s">
        <v>18</v>
      </c>
      <c r="G400" s="54" t="s">
        <v>43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19</v>
      </c>
      <c r="N400" s="54" t="s">
        <v>18</v>
      </c>
      <c r="O400" s="54" t="s">
        <v>43</v>
      </c>
      <c r="P400" s="54" t="s">
        <v>22</v>
      </c>
      <c r="Q400" s="54" t="s">
        <v>170</v>
      </c>
      <c r="R400" s="164"/>
      <c r="S400" s="63" t="s">
        <v>0</v>
      </c>
      <c r="T400" s="1">
        <v>30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9">
        <f>SUM(T400:Y400)</f>
        <v>30</v>
      </c>
      <c r="AB400" s="58">
        <v>2018</v>
      </c>
      <c r="AC400" s="9"/>
      <c r="AD400" s="100"/>
      <c r="AE400" s="100"/>
    </row>
    <row r="401" spans="1:31" ht="15.6" hidden="1" customHeight="1" x14ac:dyDescent="0.25">
      <c r="A401" s="54" t="s">
        <v>18</v>
      </c>
      <c r="B401" s="54" t="s">
        <v>18</v>
      </c>
      <c r="C401" s="54" t="s">
        <v>21</v>
      </c>
      <c r="D401" s="54" t="s">
        <v>18</v>
      </c>
      <c r="E401" s="54" t="s">
        <v>24</v>
      </c>
      <c r="F401" s="54" t="s">
        <v>18</v>
      </c>
      <c r="G401" s="54" t="s">
        <v>43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46</v>
      </c>
      <c r="R401" s="164"/>
      <c r="S401" s="63" t="s">
        <v>0</v>
      </c>
      <c r="T401" s="1">
        <v>33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9">
        <f t="shared" si="102"/>
        <v>33</v>
      </c>
      <c r="AB401" s="58">
        <v>2018</v>
      </c>
      <c r="AC401" s="9"/>
      <c r="AD401" s="100"/>
      <c r="AE401" s="100"/>
    </row>
    <row r="402" spans="1:31" ht="15.6" hidden="1" customHeight="1" x14ac:dyDescent="0.25">
      <c r="A402" s="54" t="s">
        <v>18</v>
      </c>
      <c r="B402" s="54" t="s">
        <v>18</v>
      </c>
      <c r="C402" s="54" t="s">
        <v>21</v>
      </c>
      <c r="D402" s="54" t="s">
        <v>18</v>
      </c>
      <c r="E402" s="54" t="s">
        <v>24</v>
      </c>
      <c r="F402" s="54" t="s">
        <v>18</v>
      </c>
      <c r="G402" s="54" t="s">
        <v>43</v>
      </c>
      <c r="H402" s="54" t="s">
        <v>19</v>
      </c>
      <c r="I402" s="54" t="s">
        <v>24</v>
      </c>
      <c r="J402" s="54" t="s">
        <v>18</v>
      </c>
      <c r="K402" s="54" t="s">
        <v>18</v>
      </c>
      <c r="L402" s="54" t="s">
        <v>20</v>
      </c>
      <c r="M402" s="54" t="s">
        <v>37</v>
      </c>
      <c r="N402" s="54" t="s">
        <v>18</v>
      </c>
      <c r="O402" s="54" t="s">
        <v>24</v>
      </c>
      <c r="P402" s="54" t="s">
        <v>22</v>
      </c>
      <c r="Q402" s="54" t="s">
        <v>46</v>
      </c>
      <c r="R402" s="164"/>
      <c r="S402" s="63" t="s">
        <v>0</v>
      </c>
      <c r="T402" s="1">
        <v>102.9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9">
        <f t="shared" si="102"/>
        <v>102.9</v>
      </c>
      <c r="AB402" s="58">
        <v>2018</v>
      </c>
      <c r="AC402" s="9"/>
      <c r="AD402" s="100"/>
      <c r="AE402" s="100"/>
    </row>
    <row r="403" spans="1:31" ht="15.6" hidden="1" customHeight="1" x14ac:dyDescent="0.25">
      <c r="A403" s="54" t="s">
        <v>18</v>
      </c>
      <c r="B403" s="54" t="s">
        <v>18</v>
      </c>
      <c r="C403" s="54" t="s">
        <v>21</v>
      </c>
      <c r="D403" s="54" t="s">
        <v>18</v>
      </c>
      <c r="E403" s="54" t="s">
        <v>24</v>
      </c>
      <c r="F403" s="54" t="s">
        <v>18</v>
      </c>
      <c r="G403" s="54" t="s">
        <v>43</v>
      </c>
      <c r="H403" s="54" t="s">
        <v>19</v>
      </c>
      <c r="I403" s="54" t="s">
        <v>24</v>
      </c>
      <c r="J403" s="54" t="s">
        <v>18</v>
      </c>
      <c r="K403" s="54" t="s">
        <v>18</v>
      </c>
      <c r="L403" s="54" t="s">
        <v>20</v>
      </c>
      <c r="M403" s="54" t="s">
        <v>37</v>
      </c>
      <c r="N403" s="54" t="s">
        <v>18</v>
      </c>
      <c r="O403" s="54" t="s">
        <v>24</v>
      </c>
      <c r="P403" s="54" t="s">
        <v>22</v>
      </c>
      <c r="Q403" s="54" t="s">
        <v>39</v>
      </c>
      <c r="R403" s="164"/>
      <c r="S403" s="63" t="s">
        <v>0</v>
      </c>
      <c r="T403" s="1">
        <v>128.30000000000001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59">
        <f t="shared" si="102"/>
        <v>128.30000000000001</v>
      </c>
      <c r="AB403" s="58">
        <v>2018</v>
      </c>
      <c r="AC403" s="9"/>
      <c r="AD403" s="100"/>
      <c r="AE403" s="100"/>
    </row>
    <row r="404" spans="1:31" ht="31.15" hidden="1" customHeight="1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78" t="s">
        <v>220</v>
      </c>
      <c r="S404" s="89" t="s">
        <v>172</v>
      </c>
      <c r="T404" s="3">
        <v>180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6">
        <f t="shared" si="102"/>
        <v>180</v>
      </c>
      <c r="AB404" s="41">
        <v>2018</v>
      </c>
      <c r="AC404" s="9"/>
      <c r="AD404" s="100"/>
      <c r="AE404" s="100"/>
    </row>
    <row r="405" spans="1:31" ht="15.6" hidden="1" customHeight="1" x14ac:dyDescent="0.2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164" t="s">
        <v>221</v>
      </c>
      <c r="S405" s="63" t="s">
        <v>0</v>
      </c>
      <c r="T405" s="1">
        <f>SUM(T406:T410)</f>
        <v>1177.5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59">
        <f t="shared" si="102"/>
        <v>1177.5</v>
      </c>
      <c r="AB405" s="58">
        <v>2018</v>
      </c>
      <c r="AC405" s="9"/>
      <c r="AD405" s="100"/>
      <c r="AE405" s="100"/>
    </row>
    <row r="406" spans="1:31" ht="15.6" hidden="1" customHeight="1" x14ac:dyDescent="0.25">
      <c r="A406" s="54" t="s">
        <v>18</v>
      </c>
      <c r="B406" s="54" t="s">
        <v>18</v>
      </c>
      <c r="C406" s="54" t="s">
        <v>21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24</v>
      </c>
      <c r="P406" s="54" t="s">
        <v>22</v>
      </c>
      <c r="Q406" s="54" t="s">
        <v>45</v>
      </c>
      <c r="R406" s="164"/>
      <c r="S406" s="63" t="s">
        <v>0</v>
      </c>
      <c r="T406" s="1">
        <v>400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9">
        <f t="shared" si="102"/>
        <v>400</v>
      </c>
      <c r="AB406" s="58">
        <v>2018</v>
      </c>
      <c r="AC406" s="9"/>
      <c r="AD406" s="100"/>
      <c r="AE406" s="100"/>
    </row>
    <row r="407" spans="1:31" ht="15.6" hidden="1" customHeight="1" x14ac:dyDescent="0.25">
      <c r="A407" s="54" t="s">
        <v>18</v>
      </c>
      <c r="B407" s="54" t="s">
        <v>18</v>
      </c>
      <c r="C407" s="54" t="s">
        <v>21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19</v>
      </c>
      <c r="N407" s="54" t="s">
        <v>18</v>
      </c>
      <c r="O407" s="54" t="s">
        <v>43</v>
      </c>
      <c r="P407" s="54" t="s">
        <v>22</v>
      </c>
      <c r="Q407" s="54" t="s">
        <v>170</v>
      </c>
      <c r="R407" s="164"/>
      <c r="S407" s="63" t="s">
        <v>0</v>
      </c>
      <c r="T407" s="1">
        <v>45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9">
        <f t="shared" si="102"/>
        <v>45</v>
      </c>
      <c r="AB407" s="58">
        <v>2018</v>
      </c>
      <c r="AC407" s="9"/>
      <c r="AD407" s="100"/>
      <c r="AE407" s="100"/>
    </row>
    <row r="408" spans="1:31" ht="15.6" hidden="1" customHeight="1" x14ac:dyDescent="0.25">
      <c r="A408" s="54" t="s">
        <v>18</v>
      </c>
      <c r="B408" s="54" t="s">
        <v>18</v>
      </c>
      <c r="C408" s="54" t="s">
        <v>21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64"/>
      <c r="S408" s="63" t="s">
        <v>0</v>
      </c>
      <c r="T408" s="1">
        <v>58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9">
        <f t="shared" si="102"/>
        <v>58</v>
      </c>
      <c r="AB408" s="58">
        <v>2018</v>
      </c>
      <c r="AC408" s="9"/>
      <c r="AD408" s="100"/>
      <c r="AE408" s="100"/>
    </row>
    <row r="409" spans="1:31" ht="15.6" hidden="1" customHeight="1" x14ac:dyDescent="0.25">
      <c r="A409" s="54" t="s">
        <v>18</v>
      </c>
      <c r="B409" s="54" t="s">
        <v>18</v>
      </c>
      <c r="C409" s="54" t="s">
        <v>21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46</v>
      </c>
      <c r="R409" s="164"/>
      <c r="S409" s="63" t="s">
        <v>0</v>
      </c>
      <c r="T409" s="1">
        <v>353.3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9">
        <f t="shared" si="102"/>
        <v>353.3</v>
      </c>
      <c r="AB409" s="58">
        <v>2018</v>
      </c>
      <c r="AC409" s="86"/>
      <c r="AD409" s="100"/>
      <c r="AE409" s="100"/>
    </row>
    <row r="410" spans="1:31" ht="15.6" hidden="1" customHeight="1" x14ac:dyDescent="0.25">
      <c r="A410" s="54" t="s">
        <v>18</v>
      </c>
      <c r="B410" s="54" t="s">
        <v>18</v>
      </c>
      <c r="C410" s="54" t="s">
        <v>21</v>
      </c>
      <c r="D410" s="54" t="s">
        <v>18</v>
      </c>
      <c r="E410" s="54" t="s">
        <v>21</v>
      </c>
      <c r="F410" s="54" t="s">
        <v>18</v>
      </c>
      <c r="G410" s="54" t="s">
        <v>22</v>
      </c>
      <c r="H410" s="54" t="s">
        <v>19</v>
      </c>
      <c r="I410" s="54" t="s">
        <v>24</v>
      </c>
      <c r="J410" s="54" t="s">
        <v>18</v>
      </c>
      <c r="K410" s="54" t="s">
        <v>18</v>
      </c>
      <c r="L410" s="54" t="s">
        <v>20</v>
      </c>
      <c r="M410" s="54" t="s">
        <v>37</v>
      </c>
      <c r="N410" s="54" t="s">
        <v>18</v>
      </c>
      <c r="O410" s="54" t="s">
        <v>24</v>
      </c>
      <c r="P410" s="54" t="s">
        <v>22</v>
      </c>
      <c r="Q410" s="54" t="s">
        <v>39</v>
      </c>
      <c r="R410" s="164"/>
      <c r="S410" s="63" t="s">
        <v>0</v>
      </c>
      <c r="T410" s="1">
        <v>321.2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59">
        <f t="shared" si="102"/>
        <v>321.2</v>
      </c>
      <c r="AB410" s="58">
        <v>2018</v>
      </c>
      <c r="AC410" s="9"/>
      <c r="AD410" s="100"/>
      <c r="AE410" s="100"/>
    </row>
    <row r="411" spans="1:31" ht="27.6" hidden="1" customHeight="1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88" t="s">
        <v>222</v>
      </c>
      <c r="S411" s="84" t="s">
        <v>8</v>
      </c>
      <c r="T411" s="44">
        <v>1</v>
      </c>
      <c r="U411" s="44">
        <v>0</v>
      </c>
      <c r="V411" s="44">
        <v>0</v>
      </c>
      <c r="W411" s="44">
        <v>0</v>
      </c>
      <c r="X411" s="44">
        <v>0</v>
      </c>
      <c r="Y411" s="44">
        <v>0</v>
      </c>
      <c r="Z411" s="44">
        <v>0</v>
      </c>
      <c r="AA411" s="49">
        <f t="shared" si="102"/>
        <v>1</v>
      </c>
      <c r="AB411" s="41">
        <v>2018</v>
      </c>
      <c r="AC411" s="9"/>
      <c r="AD411" s="100"/>
      <c r="AE411" s="100"/>
    </row>
    <row r="412" spans="1:31" ht="15.6" hidden="1" customHeight="1" x14ac:dyDescent="0.25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164" t="s">
        <v>223</v>
      </c>
      <c r="S412" s="63" t="s">
        <v>0</v>
      </c>
      <c r="T412" s="1">
        <f>SUM(T413:T416)</f>
        <v>979.3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59">
        <f t="shared" si="102"/>
        <v>979.3</v>
      </c>
      <c r="AB412" s="58">
        <v>2018</v>
      </c>
      <c r="AC412" s="9"/>
      <c r="AD412" s="100"/>
      <c r="AE412" s="100"/>
    </row>
    <row r="413" spans="1:31" ht="15.6" hidden="1" customHeight="1" x14ac:dyDescent="0.25">
      <c r="A413" s="54" t="s">
        <v>18</v>
      </c>
      <c r="B413" s="54" t="s">
        <v>18</v>
      </c>
      <c r="C413" s="54" t="s">
        <v>21</v>
      </c>
      <c r="D413" s="54" t="s">
        <v>18</v>
      </c>
      <c r="E413" s="54" t="s">
        <v>21</v>
      </c>
      <c r="F413" s="54" t="s">
        <v>18</v>
      </c>
      <c r="G413" s="54" t="s">
        <v>22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19</v>
      </c>
      <c r="N413" s="54" t="s">
        <v>18</v>
      </c>
      <c r="O413" s="54" t="s">
        <v>24</v>
      </c>
      <c r="P413" s="54" t="s">
        <v>22</v>
      </c>
      <c r="Q413" s="54" t="s">
        <v>45</v>
      </c>
      <c r="R413" s="164"/>
      <c r="S413" s="63" t="s">
        <v>0</v>
      </c>
      <c r="T413" s="1">
        <v>391.7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59">
        <f t="shared" si="102"/>
        <v>391.7</v>
      </c>
      <c r="AB413" s="58">
        <v>2018</v>
      </c>
      <c r="AC413" s="9"/>
      <c r="AD413" s="100"/>
      <c r="AE413" s="100"/>
    </row>
    <row r="414" spans="1:31" ht="15.6" hidden="1" customHeight="1" x14ac:dyDescent="0.25">
      <c r="A414" s="54" t="s">
        <v>18</v>
      </c>
      <c r="B414" s="54" t="s">
        <v>18</v>
      </c>
      <c r="C414" s="54" t="s">
        <v>21</v>
      </c>
      <c r="D414" s="54" t="s">
        <v>18</v>
      </c>
      <c r="E414" s="54" t="s">
        <v>21</v>
      </c>
      <c r="F414" s="54" t="s">
        <v>18</v>
      </c>
      <c r="G414" s="54" t="s">
        <v>22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43</v>
      </c>
      <c r="P414" s="54" t="s">
        <v>22</v>
      </c>
      <c r="Q414" s="54" t="s">
        <v>170</v>
      </c>
      <c r="R414" s="164"/>
      <c r="S414" s="63" t="s">
        <v>0</v>
      </c>
      <c r="T414" s="1">
        <v>30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9">
        <f t="shared" si="102"/>
        <v>30</v>
      </c>
      <c r="AB414" s="58">
        <v>2018</v>
      </c>
      <c r="AC414" s="9"/>
      <c r="AD414" s="100"/>
      <c r="AE414" s="100"/>
    </row>
    <row r="415" spans="1:31" ht="15.6" hidden="1" customHeight="1" x14ac:dyDescent="0.25">
      <c r="A415" s="54" t="s">
        <v>18</v>
      </c>
      <c r="B415" s="54" t="s">
        <v>18</v>
      </c>
      <c r="C415" s="54" t="s">
        <v>21</v>
      </c>
      <c r="D415" s="54" t="s">
        <v>18</v>
      </c>
      <c r="E415" s="54" t="s">
        <v>21</v>
      </c>
      <c r="F415" s="54" t="s">
        <v>18</v>
      </c>
      <c r="G415" s="54" t="s">
        <v>22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37</v>
      </c>
      <c r="N415" s="54" t="s">
        <v>18</v>
      </c>
      <c r="O415" s="54" t="s">
        <v>24</v>
      </c>
      <c r="P415" s="54" t="s">
        <v>22</v>
      </c>
      <c r="Q415" s="54" t="s">
        <v>46</v>
      </c>
      <c r="R415" s="164"/>
      <c r="S415" s="63" t="s">
        <v>0</v>
      </c>
      <c r="T415" s="1">
        <v>205.6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59">
        <f t="shared" si="102"/>
        <v>205.6</v>
      </c>
      <c r="AB415" s="58">
        <v>2018</v>
      </c>
      <c r="AC415" s="9"/>
      <c r="AD415" s="100"/>
      <c r="AE415" s="100"/>
    </row>
    <row r="416" spans="1:31" ht="15.6" hidden="1" customHeight="1" x14ac:dyDescent="0.25">
      <c r="A416" s="54" t="s">
        <v>18</v>
      </c>
      <c r="B416" s="54" t="s">
        <v>18</v>
      </c>
      <c r="C416" s="54" t="s">
        <v>21</v>
      </c>
      <c r="D416" s="54" t="s">
        <v>18</v>
      </c>
      <c r="E416" s="54" t="s">
        <v>21</v>
      </c>
      <c r="F416" s="54" t="s">
        <v>18</v>
      </c>
      <c r="G416" s="54" t="s">
        <v>22</v>
      </c>
      <c r="H416" s="54" t="s">
        <v>19</v>
      </c>
      <c r="I416" s="54" t="s">
        <v>24</v>
      </c>
      <c r="J416" s="54" t="s">
        <v>18</v>
      </c>
      <c r="K416" s="54" t="s">
        <v>18</v>
      </c>
      <c r="L416" s="54" t="s">
        <v>20</v>
      </c>
      <c r="M416" s="54" t="s">
        <v>37</v>
      </c>
      <c r="N416" s="54" t="s">
        <v>18</v>
      </c>
      <c r="O416" s="54" t="s">
        <v>24</v>
      </c>
      <c r="P416" s="54" t="s">
        <v>22</v>
      </c>
      <c r="Q416" s="54" t="s">
        <v>39</v>
      </c>
      <c r="R416" s="164"/>
      <c r="S416" s="63" t="s">
        <v>0</v>
      </c>
      <c r="T416" s="1">
        <v>352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59">
        <f t="shared" si="102"/>
        <v>352</v>
      </c>
      <c r="AB416" s="58">
        <v>2018</v>
      </c>
      <c r="AC416" s="9"/>
      <c r="AD416" s="100"/>
      <c r="AE416" s="100"/>
    </row>
    <row r="417" spans="1:31" ht="31.15" hidden="1" customHeight="1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80" t="s">
        <v>224</v>
      </c>
      <c r="S417" s="84" t="s">
        <v>167</v>
      </c>
      <c r="T417" s="3">
        <v>356.5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6">
        <f t="shared" si="102"/>
        <v>356.5</v>
      </c>
      <c r="AB417" s="41">
        <v>2018</v>
      </c>
      <c r="AC417" s="9"/>
      <c r="AD417" s="100"/>
      <c r="AE417" s="100"/>
    </row>
    <row r="418" spans="1:31" ht="15.6" hidden="1" customHeight="1" x14ac:dyDescent="0.25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164" t="s">
        <v>225</v>
      </c>
      <c r="S418" s="63" t="s">
        <v>0</v>
      </c>
      <c r="T418" s="1">
        <f>SUM(T419:T422)</f>
        <v>695.4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59">
        <f t="shared" si="102"/>
        <v>695.4</v>
      </c>
      <c r="AB418" s="58">
        <v>2018</v>
      </c>
      <c r="AC418" s="9"/>
      <c r="AD418" s="100"/>
      <c r="AE418" s="100"/>
    </row>
    <row r="419" spans="1:31" ht="15.6" hidden="1" customHeight="1" x14ac:dyDescent="0.25">
      <c r="A419" s="54" t="s">
        <v>18</v>
      </c>
      <c r="B419" s="54" t="s">
        <v>18</v>
      </c>
      <c r="C419" s="54" t="s">
        <v>21</v>
      </c>
      <c r="D419" s="54" t="s">
        <v>18</v>
      </c>
      <c r="E419" s="54" t="s">
        <v>21</v>
      </c>
      <c r="F419" s="54" t="s">
        <v>18</v>
      </c>
      <c r="G419" s="54" t="s">
        <v>22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19</v>
      </c>
      <c r="N419" s="54" t="s">
        <v>18</v>
      </c>
      <c r="O419" s="54" t="s">
        <v>24</v>
      </c>
      <c r="P419" s="54" t="s">
        <v>22</v>
      </c>
      <c r="Q419" s="54" t="s">
        <v>45</v>
      </c>
      <c r="R419" s="164"/>
      <c r="S419" s="63" t="s">
        <v>0</v>
      </c>
      <c r="T419" s="1">
        <v>278.2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59">
        <f t="shared" si="102"/>
        <v>278.2</v>
      </c>
      <c r="AB419" s="58">
        <v>2018</v>
      </c>
      <c r="AC419" s="9"/>
      <c r="AD419" s="100"/>
      <c r="AE419" s="100"/>
    </row>
    <row r="420" spans="1:31" ht="15.6" hidden="1" customHeight="1" x14ac:dyDescent="0.25">
      <c r="A420" s="54" t="s">
        <v>18</v>
      </c>
      <c r="B420" s="54" t="s">
        <v>18</v>
      </c>
      <c r="C420" s="54" t="s">
        <v>21</v>
      </c>
      <c r="D420" s="54" t="s">
        <v>18</v>
      </c>
      <c r="E420" s="54" t="s">
        <v>21</v>
      </c>
      <c r="F420" s="54" t="s">
        <v>18</v>
      </c>
      <c r="G420" s="54" t="s">
        <v>22</v>
      </c>
      <c r="H420" s="54" t="s">
        <v>19</v>
      </c>
      <c r="I420" s="54" t="s">
        <v>24</v>
      </c>
      <c r="J420" s="54" t="s">
        <v>18</v>
      </c>
      <c r="K420" s="54" t="s">
        <v>18</v>
      </c>
      <c r="L420" s="54" t="s">
        <v>20</v>
      </c>
      <c r="M420" s="54" t="s">
        <v>37</v>
      </c>
      <c r="N420" s="54" t="s">
        <v>18</v>
      </c>
      <c r="O420" s="54" t="s">
        <v>43</v>
      </c>
      <c r="P420" s="54" t="s">
        <v>22</v>
      </c>
      <c r="Q420" s="54" t="s">
        <v>170</v>
      </c>
      <c r="R420" s="164"/>
      <c r="S420" s="63" t="s">
        <v>0</v>
      </c>
      <c r="T420" s="1">
        <v>20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59">
        <f t="shared" si="102"/>
        <v>20</v>
      </c>
      <c r="AB420" s="58">
        <v>2018</v>
      </c>
      <c r="AC420" s="9"/>
      <c r="AD420" s="100"/>
      <c r="AE420" s="100"/>
    </row>
    <row r="421" spans="1:31" ht="15.6" hidden="1" customHeight="1" x14ac:dyDescent="0.25">
      <c r="A421" s="54" t="s">
        <v>18</v>
      </c>
      <c r="B421" s="54" t="s">
        <v>18</v>
      </c>
      <c r="C421" s="54" t="s">
        <v>21</v>
      </c>
      <c r="D421" s="54" t="s">
        <v>18</v>
      </c>
      <c r="E421" s="54" t="s">
        <v>21</v>
      </c>
      <c r="F421" s="54" t="s">
        <v>18</v>
      </c>
      <c r="G421" s="54" t="s">
        <v>22</v>
      </c>
      <c r="H421" s="54" t="s">
        <v>19</v>
      </c>
      <c r="I421" s="54" t="s">
        <v>24</v>
      </c>
      <c r="J421" s="54" t="s">
        <v>18</v>
      </c>
      <c r="K421" s="54" t="s">
        <v>18</v>
      </c>
      <c r="L421" s="54" t="s">
        <v>20</v>
      </c>
      <c r="M421" s="54" t="s">
        <v>37</v>
      </c>
      <c r="N421" s="54" t="s">
        <v>18</v>
      </c>
      <c r="O421" s="54" t="s">
        <v>24</v>
      </c>
      <c r="P421" s="54" t="s">
        <v>22</v>
      </c>
      <c r="Q421" s="54" t="s">
        <v>46</v>
      </c>
      <c r="R421" s="164"/>
      <c r="S421" s="63" t="s">
        <v>0</v>
      </c>
      <c r="T421" s="1">
        <v>104.3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59">
        <f t="shared" si="102"/>
        <v>104.3</v>
      </c>
      <c r="AB421" s="58">
        <v>2018</v>
      </c>
      <c r="AC421" s="9"/>
      <c r="AD421" s="100"/>
      <c r="AE421" s="100"/>
    </row>
    <row r="422" spans="1:31" ht="15.6" hidden="1" customHeight="1" x14ac:dyDescent="0.25">
      <c r="A422" s="54" t="s">
        <v>18</v>
      </c>
      <c r="B422" s="54" t="s">
        <v>18</v>
      </c>
      <c r="C422" s="54" t="s">
        <v>21</v>
      </c>
      <c r="D422" s="54" t="s">
        <v>18</v>
      </c>
      <c r="E422" s="54" t="s">
        <v>21</v>
      </c>
      <c r="F422" s="54" t="s">
        <v>18</v>
      </c>
      <c r="G422" s="54" t="s">
        <v>22</v>
      </c>
      <c r="H422" s="54" t="s">
        <v>19</v>
      </c>
      <c r="I422" s="54" t="s">
        <v>24</v>
      </c>
      <c r="J422" s="54" t="s">
        <v>18</v>
      </c>
      <c r="K422" s="54" t="s">
        <v>18</v>
      </c>
      <c r="L422" s="54" t="s">
        <v>20</v>
      </c>
      <c r="M422" s="54" t="s">
        <v>37</v>
      </c>
      <c r="N422" s="54" t="s">
        <v>18</v>
      </c>
      <c r="O422" s="54" t="s">
        <v>24</v>
      </c>
      <c r="P422" s="54" t="s">
        <v>22</v>
      </c>
      <c r="Q422" s="54" t="s">
        <v>39</v>
      </c>
      <c r="R422" s="164"/>
      <c r="S422" s="63" t="s">
        <v>0</v>
      </c>
      <c r="T422" s="1">
        <v>292.89999999999998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59">
        <f t="shared" si="102"/>
        <v>292.89999999999998</v>
      </c>
      <c r="AB422" s="58">
        <v>2018</v>
      </c>
      <c r="AC422" s="9"/>
      <c r="AD422" s="100"/>
      <c r="AE422" s="100"/>
    </row>
    <row r="423" spans="1:31" ht="31.15" hidden="1" customHeight="1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78" t="s">
        <v>226</v>
      </c>
      <c r="S423" s="89" t="s">
        <v>172</v>
      </c>
      <c r="T423" s="3">
        <v>190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6">
        <f t="shared" si="102"/>
        <v>190</v>
      </c>
      <c r="AB423" s="41">
        <v>2018</v>
      </c>
      <c r="AC423" s="9"/>
      <c r="AD423" s="100"/>
      <c r="AE423" s="100"/>
    </row>
    <row r="424" spans="1:31" ht="15.6" hidden="1" customHeight="1" x14ac:dyDescent="0.25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164" t="s">
        <v>227</v>
      </c>
      <c r="S424" s="63" t="s">
        <v>0</v>
      </c>
      <c r="T424" s="1">
        <f>SUM(T425:T429)</f>
        <v>836.4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59">
        <f t="shared" si="102"/>
        <v>836.4</v>
      </c>
      <c r="AB424" s="58">
        <v>2018</v>
      </c>
      <c r="AC424" s="9"/>
      <c r="AD424" s="100"/>
      <c r="AE424" s="100"/>
    </row>
    <row r="425" spans="1:31" ht="15.6" hidden="1" customHeight="1" x14ac:dyDescent="0.25">
      <c r="A425" s="54" t="s">
        <v>18</v>
      </c>
      <c r="B425" s="54" t="s">
        <v>18</v>
      </c>
      <c r="C425" s="54" t="s">
        <v>21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19</v>
      </c>
      <c r="N425" s="54" t="s">
        <v>18</v>
      </c>
      <c r="O425" s="54" t="s">
        <v>24</v>
      </c>
      <c r="P425" s="54" t="s">
        <v>22</v>
      </c>
      <c r="Q425" s="54" t="s">
        <v>45</v>
      </c>
      <c r="R425" s="164"/>
      <c r="S425" s="63" t="s">
        <v>0</v>
      </c>
      <c r="T425" s="1">
        <v>334.5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59">
        <f t="shared" si="102"/>
        <v>334.5</v>
      </c>
      <c r="AB425" s="58">
        <v>2018</v>
      </c>
      <c r="AC425" s="9"/>
      <c r="AD425" s="100"/>
      <c r="AE425" s="100"/>
    </row>
    <row r="426" spans="1:31" ht="15.6" hidden="1" customHeight="1" x14ac:dyDescent="0.25">
      <c r="A426" s="54" t="s">
        <v>18</v>
      </c>
      <c r="B426" s="54" t="s">
        <v>18</v>
      </c>
      <c r="C426" s="54" t="s">
        <v>21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19</v>
      </c>
      <c r="N426" s="54" t="s">
        <v>18</v>
      </c>
      <c r="O426" s="54" t="s">
        <v>43</v>
      </c>
      <c r="P426" s="54" t="s">
        <v>22</v>
      </c>
      <c r="Q426" s="54" t="s">
        <v>170</v>
      </c>
      <c r="R426" s="164"/>
      <c r="S426" s="63" t="s">
        <v>0</v>
      </c>
      <c r="T426" s="1">
        <v>30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59">
        <f>SUM(T426:Y426)</f>
        <v>30</v>
      </c>
      <c r="AB426" s="58">
        <v>2018</v>
      </c>
      <c r="AC426" s="9"/>
      <c r="AD426" s="100"/>
      <c r="AE426" s="100"/>
    </row>
    <row r="427" spans="1:31" ht="15.6" hidden="1" customHeight="1" x14ac:dyDescent="0.25">
      <c r="A427" s="54" t="s">
        <v>18</v>
      </c>
      <c r="B427" s="54" t="s">
        <v>18</v>
      </c>
      <c r="C427" s="54" t="s">
        <v>21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46</v>
      </c>
      <c r="R427" s="164"/>
      <c r="S427" s="63" t="s">
        <v>0</v>
      </c>
      <c r="T427" s="1">
        <v>16.399999999999999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59">
        <f t="shared" si="102"/>
        <v>16.399999999999999</v>
      </c>
      <c r="AB427" s="58">
        <v>2018</v>
      </c>
      <c r="AC427" s="9"/>
      <c r="AD427" s="100"/>
      <c r="AE427" s="100"/>
    </row>
    <row r="428" spans="1:31" ht="15.6" hidden="1" customHeight="1" x14ac:dyDescent="0.25">
      <c r="A428" s="54" t="s">
        <v>18</v>
      </c>
      <c r="B428" s="54" t="s">
        <v>18</v>
      </c>
      <c r="C428" s="54" t="s">
        <v>21</v>
      </c>
      <c r="D428" s="54" t="s">
        <v>18</v>
      </c>
      <c r="E428" s="54" t="s">
        <v>21</v>
      </c>
      <c r="F428" s="54" t="s">
        <v>18</v>
      </c>
      <c r="G428" s="54" t="s">
        <v>22</v>
      </c>
      <c r="H428" s="54" t="s">
        <v>19</v>
      </c>
      <c r="I428" s="54" t="s">
        <v>24</v>
      </c>
      <c r="J428" s="54" t="s">
        <v>18</v>
      </c>
      <c r="K428" s="54" t="s">
        <v>18</v>
      </c>
      <c r="L428" s="54" t="s">
        <v>20</v>
      </c>
      <c r="M428" s="54" t="s">
        <v>37</v>
      </c>
      <c r="N428" s="54" t="s">
        <v>18</v>
      </c>
      <c r="O428" s="54" t="s">
        <v>24</v>
      </c>
      <c r="P428" s="54" t="s">
        <v>22</v>
      </c>
      <c r="Q428" s="54" t="s">
        <v>46</v>
      </c>
      <c r="R428" s="164"/>
      <c r="S428" s="63" t="s">
        <v>0</v>
      </c>
      <c r="T428" s="1">
        <v>125.5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59">
        <f t="shared" si="102"/>
        <v>125.5</v>
      </c>
      <c r="AB428" s="58">
        <v>2018</v>
      </c>
      <c r="AC428" s="9"/>
      <c r="AD428" s="100"/>
      <c r="AE428" s="100"/>
    </row>
    <row r="429" spans="1:31" ht="15.6" hidden="1" customHeight="1" x14ac:dyDescent="0.25">
      <c r="A429" s="54" t="s">
        <v>18</v>
      </c>
      <c r="B429" s="54" t="s">
        <v>18</v>
      </c>
      <c r="C429" s="54" t="s">
        <v>21</v>
      </c>
      <c r="D429" s="54" t="s">
        <v>18</v>
      </c>
      <c r="E429" s="54" t="s">
        <v>21</v>
      </c>
      <c r="F429" s="54" t="s">
        <v>18</v>
      </c>
      <c r="G429" s="54" t="s">
        <v>22</v>
      </c>
      <c r="H429" s="54" t="s">
        <v>19</v>
      </c>
      <c r="I429" s="54" t="s">
        <v>24</v>
      </c>
      <c r="J429" s="54" t="s">
        <v>18</v>
      </c>
      <c r="K429" s="54" t="s">
        <v>18</v>
      </c>
      <c r="L429" s="54" t="s">
        <v>20</v>
      </c>
      <c r="M429" s="54" t="s">
        <v>37</v>
      </c>
      <c r="N429" s="54" t="s">
        <v>18</v>
      </c>
      <c r="O429" s="54" t="s">
        <v>24</v>
      </c>
      <c r="P429" s="54" t="s">
        <v>22</v>
      </c>
      <c r="Q429" s="54" t="s">
        <v>39</v>
      </c>
      <c r="R429" s="164"/>
      <c r="S429" s="63" t="s">
        <v>0</v>
      </c>
      <c r="T429" s="1">
        <v>330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59">
        <f t="shared" si="102"/>
        <v>330</v>
      </c>
      <c r="AB429" s="58">
        <v>2018</v>
      </c>
      <c r="AC429" s="9"/>
      <c r="AD429" s="100"/>
      <c r="AE429" s="100"/>
    </row>
    <row r="430" spans="1:31" ht="27.6" hidden="1" customHeight="1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88" t="s">
        <v>228</v>
      </c>
      <c r="S430" s="84" t="s">
        <v>8</v>
      </c>
      <c r="T430" s="44">
        <v>1</v>
      </c>
      <c r="U430" s="44">
        <v>0</v>
      </c>
      <c r="V430" s="44">
        <v>0</v>
      </c>
      <c r="W430" s="44">
        <v>0</v>
      </c>
      <c r="X430" s="44">
        <v>0</v>
      </c>
      <c r="Y430" s="44">
        <v>0</v>
      </c>
      <c r="Z430" s="44">
        <v>0</v>
      </c>
      <c r="AA430" s="6">
        <f t="shared" si="102"/>
        <v>1</v>
      </c>
      <c r="AB430" s="41">
        <v>2018</v>
      </c>
      <c r="AC430" s="9"/>
      <c r="AD430" s="100"/>
      <c r="AE430" s="100"/>
    </row>
    <row r="431" spans="1:31" ht="15.6" customHeight="1" x14ac:dyDescent="0.25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18</v>
      </c>
      <c r="F431" s="54" t="s">
        <v>18</v>
      </c>
      <c r="G431" s="54" t="s">
        <v>18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18</v>
      </c>
      <c r="N431" s="54" t="s">
        <v>18</v>
      </c>
      <c r="O431" s="54" t="s">
        <v>18</v>
      </c>
      <c r="P431" s="54" t="s">
        <v>18</v>
      </c>
      <c r="Q431" s="54" t="s">
        <v>18</v>
      </c>
      <c r="R431" s="158" t="s">
        <v>133</v>
      </c>
      <c r="S431" s="161" t="s">
        <v>0</v>
      </c>
      <c r="T431" s="59">
        <f>SUM(T432:T434)</f>
        <v>6913.9</v>
      </c>
      <c r="U431" s="59">
        <f>SUM(U432:U436)</f>
        <v>3765.5</v>
      </c>
      <c r="V431" s="59">
        <f>SUM(V432:V436)</f>
        <v>1745.5</v>
      </c>
      <c r="W431" s="59">
        <f>SUM(W432:W439)</f>
        <v>1838.6999999999998</v>
      </c>
      <c r="X431" s="59">
        <f>SUM(X432:X439)</f>
        <v>2718</v>
      </c>
      <c r="Y431" s="59">
        <v>0</v>
      </c>
      <c r="Z431" s="59">
        <v>0</v>
      </c>
      <c r="AA431" s="59">
        <f>SUM(T431:Z431)</f>
        <v>16981.599999999999</v>
      </c>
      <c r="AB431" s="58">
        <v>2022</v>
      </c>
      <c r="AC431" s="123"/>
      <c r="AD431" s="100"/>
      <c r="AE431" s="100"/>
    </row>
    <row r="432" spans="1:31" x14ac:dyDescent="0.25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18</v>
      </c>
      <c r="F432" s="54" t="s">
        <v>18</v>
      </c>
      <c r="G432" s="54" t="s">
        <v>18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19</v>
      </c>
      <c r="N432" s="54" t="s">
        <v>18</v>
      </c>
      <c r="O432" s="54" t="s">
        <v>24</v>
      </c>
      <c r="P432" s="54" t="s">
        <v>22</v>
      </c>
      <c r="Q432" s="54" t="s">
        <v>45</v>
      </c>
      <c r="R432" s="159"/>
      <c r="S432" s="162"/>
      <c r="T432" s="1">
        <v>2886.9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59">
        <f t="shared" ref="AA432:AA439" si="103">SUM(T432:Z432)</f>
        <v>2886.9</v>
      </c>
      <c r="AB432" s="58">
        <v>2018</v>
      </c>
      <c r="AC432" s="123"/>
      <c r="AD432" s="100"/>
      <c r="AE432" s="100"/>
    </row>
    <row r="433" spans="1:31" x14ac:dyDescent="0.25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18</v>
      </c>
      <c r="F433" s="54" t="s">
        <v>18</v>
      </c>
      <c r="G433" s="54" t="s">
        <v>18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46</v>
      </c>
      <c r="R433" s="159"/>
      <c r="S433" s="162"/>
      <c r="T433" s="1">
        <v>1641.4</v>
      </c>
      <c r="U433" s="1">
        <v>868</v>
      </c>
      <c r="V433" s="1">
        <v>501.9</v>
      </c>
      <c r="W433" s="1">
        <v>0</v>
      </c>
      <c r="X433" s="1">
        <v>0</v>
      </c>
      <c r="Y433" s="1">
        <v>0</v>
      </c>
      <c r="Z433" s="1">
        <v>0</v>
      </c>
      <c r="AA433" s="59">
        <f t="shared" si="103"/>
        <v>3011.3</v>
      </c>
      <c r="AB433" s="58">
        <v>2020</v>
      </c>
      <c r="AC433" s="123"/>
      <c r="AD433" s="100"/>
      <c r="AE433" s="100"/>
    </row>
    <row r="434" spans="1:31" x14ac:dyDescent="0.25">
      <c r="A434" s="54" t="s">
        <v>18</v>
      </c>
      <c r="B434" s="54" t="s">
        <v>18</v>
      </c>
      <c r="C434" s="54" t="s">
        <v>25</v>
      </c>
      <c r="D434" s="54" t="s">
        <v>18</v>
      </c>
      <c r="E434" s="54" t="s">
        <v>18</v>
      </c>
      <c r="F434" s="54" t="s">
        <v>18</v>
      </c>
      <c r="G434" s="54" t="s">
        <v>18</v>
      </c>
      <c r="H434" s="54" t="s">
        <v>19</v>
      </c>
      <c r="I434" s="54" t="s">
        <v>24</v>
      </c>
      <c r="J434" s="54" t="s">
        <v>18</v>
      </c>
      <c r="K434" s="54" t="s">
        <v>18</v>
      </c>
      <c r="L434" s="54" t="s">
        <v>20</v>
      </c>
      <c r="M434" s="54" t="s">
        <v>37</v>
      </c>
      <c r="N434" s="54" t="s">
        <v>18</v>
      </c>
      <c r="O434" s="54" t="s">
        <v>24</v>
      </c>
      <c r="P434" s="54" t="s">
        <v>22</v>
      </c>
      <c r="Q434" s="54" t="s">
        <v>39</v>
      </c>
      <c r="R434" s="159"/>
      <c r="S434" s="162"/>
      <c r="T434" s="1">
        <v>2385.6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59">
        <f t="shared" si="103"/>
        <v>2385.6</v>
      </c>
      <c r="AB434" s="58">
        <v>2018</v>
      </c>
      <c r="AC434" s="123"/>
      <c r="AD434" s="100"/>
      <c r="AE434" s="100"/>
    </row>
    <row r="435" spans="1:31" x14ac:dyDescent="0.25">
      <c r="A435" s="54" t="s">
        <v>18</v>
      </c>
      <c r="B435" s="54" t="s">
        <v>18</v>
      </c>
      <c r="C435" s="54" t="s">
        <v>25</v>
      </c>
      <c r="D435" s="54" t="s">
        <v>18</v>
      </c>
      <c r="E435" s="54" t="s">
        <v>18</v>
      </c>
      <c r="F435" s="54" t="s">
        <v>18</v>
      </c>
      <c r="G435" s="54" t="s">
        <v>18</v>
      </c>
      <c r="H435" s="54" t="s">
        <v>19</v>
      </c>
      <c r="I435" s="54" t="s">
        <v>24</v>
      </c>
      <c r="J435" s="54" t="s">
        <v>18</v>
      </c>
      <c r="K435" s="54" t="s">
        <v>18</v>
      </c>
      <c r="L435" s="54" t="s">
        <v>20</v>
      </c>
      <c r="M435" s="54" t="s">
        <v>19</v>
      </c>
      <c r="N435" s="54" t="s">
        <v>18</v>
      </c>
      <c r="O435" s="54" t="s">
        <v>24</v>
      </c>
      <c r="P435" s="54" t="s">
        <v>22</v>
      </c>
      <c r="Q435" s="54" t="s">
        <v>18</v>
      </c>
      <c r="R435" s="159"/>
      <c r="S435" s="162"/>
      <c r="T435" s="1">
        <v>0</v>
      </c>
      <c r="U435" s="1">
        <f>1977-1.3</f>
        <v>1975.7</v>
      </c>
      <c r="V435" s="1">
        <f>968.2-585.9</f>
        <v>382.30000000000007</v>
      </c>
      <c r="W435" s="1">
        <v>0</v>
      </c>
      <c r="X435" s="1">
        <v>0</v>
      </c>
      <c r="Y435" s="1">
        <v>0</v>
      </c>
      <c r="Z435" s="1">
        <v>0</v>
      </c>
      <c r="AA435" s="59">
        <f t="shared" si="103"/>
        <v>2358</v>
      </c>
      <c r="AB435" s="58">
        <v>2020</v>
      </c>
      <c r="AC435" s="123"/>
      <c r="AD435" s="100"/>
      <c r="AE435" s="100"/>
    </row>
    <row r="436" spans="1:31" x14ac:dyDescent="0.25">
      <c r="A436" s="54" t="s">
        <v>18</v>
      </c>
      <c r="B436" s="54" t="s">
        <v>18</v>
      </c>
      <c r="C436" s="54" t="s">
        <v>25</v>
      </c>
      <c r="D436" s="54" t="s">
        <v>18</v>
      </c>
      <c r="E436" s="54" t="s">
        <v>18</v>
      </c>
      <c r="F436" s="54" t="s">
        <v>18</v>
      </c>
      <c r="G436" s="54" t="s">
        <v>18</v>
      </c>
      <c r="H436" s="54" t="s">
        <v>19</v>
      </c>
      <c r="I436" s="54" t="s">
        <v>24</v>
      </c>
      <c r="J436" s="54" t="s">
        <v>18</v>
      </c>
      <c r="K436" s="54" t="s">
        <v>18</v>
      </c>
      <c r="L436" s="54" t="s">
        <v>20</v>
      </c>
      <c r="M436" s="54" t="s">
        <v>37</v>
      </c>
      <c r="N436" s="54" t="s">
        <v>18</v>
      </c>
      <c r="O436" s="54" t="s">
        <v>24</v>
      </c>
      <c r="P436" s="54" t="s">
        <v>22</v>
      </c>
      <c r="Q436" s="54" t="s">
        <v>18</v>
      </c>
      <c r="R436" s="159"/>
      <c r="S436" s="162"/>
      <c r="T436" s="1">
        <v>0</v>
      </c>
      <c r="U436" s="1">
        <f>1119.1-197.3</f>
        <v>921.8</v>
      </c>
      <c r="V436" s="1">
        <f>466.5+457.8-63</f>
        <v>861.3</v>
      </c>
      <c r="W436" s="1">
        <v>0</v>
      </c>
      <c r="X436" s="1">
        <v>0</v>
      </c>
      <c r="Y436" s="1">
        <v>0</v>
      </c>
      <c r="Z436" s="1">
        <v>0</v>
      </c>
      <c r="AA436" s="59">
        <f t="shared" si="103"/>
        <v>1783.1</v>
      </c>
      <c r="AB436" s="58">
        <v>2020</v>
      </c>
      <c r="AC436" s="123"/>
      <c r="AD436" s="100"/>
      <c r="AE436" s="100"/>
    </row>
    <row r="437" spans="1:31" x14ac:dyDescent="0.25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18</v>
      </c>
      <c r="F437" s="54" t="s">
        <v>18</v>
      </c>
      <c r="G437" s="54" t="s">
        <v>18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37</v>
      </c>
      <c r="N437" s="54" t="s">
        <v>43</v>
      </c>
      <c r="O437" s="54" t="s">
        <v>18</v>
      </c>
      <c r="P437" s="54" t="s">
        <v>18</v>
      </c>
      <c r="Q437" s="54" t="s">
        <v>18</v>
      </c>
      <c r="R437" s="159"/>
      <c r="S437" s="162"/>
      <c r="T437" s="1">
        <v>0</v>
      </c>
      <c r="U437" s="1">
        <v>0</v>
      </c>
      <c r="V437" s="1">
        <v>0</v>
      </c>
      <c r="W437" s="1">
        <v>534.9</v>
      </c>
      <c r="X437" s="1">
        <v>723.3</v>
      </c>
      <c r="Y437" s="1">
        <v>0</v>
      </c>
      <c r="Z437" s="1">
        <v>0</v>
      </c>
      <c r="AA437" s="59">
        <f t="shared" si="103"/>
        <v>1258.1999999999998</v>
      </c>
      <c r="AB437" s="58">
        <v>2022</v>
      </c>
      <c r="AC437" s="123"/>
      <c r="AD437" s="100"/>
      <c r="AE437" s="100"/>
    </row>
    <row r="438" spans="1:31" x14ac:dyDescent="0.25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18</v>
      </c>
      <c r="F438" s="54" t="s">
        <v>18</v>
      </c>
      <c r="G438" s="54" t="s">
        <v>18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19</v>
      </c>
      <c r="N438" s="54" t="s">
        <v>43</v>
      </c>
      <c r="O438" s="54" t="s">
        <v>18</v>
      </c>
      <c r="P438" s="54" t="s">
        <v>18</v>
      </c>
      <c r="Q438" s="54" t="s">
        <v>18</v>
      </c>
      <c r="R438" s="159"/>
      <c r="S438" s="162"/>
      <c r="T438" s="1">
        <v>0</v>
      </c>
      <c r="U438" s="1">
        <v>0</v>
      </c>
      <c r="V438" s="1">
        <v>0</v>
      </c>
      <c r="W438" s="1">
        <v>904.4</v>
      </c>
      <c r="X438" s="1">
        <v>1358.9</v>
      </c>
      <c r="Y438" s="1">
        <v>0</v>
      </c>
      <c r="Z438" s="1">
        <v>0</v>
      </c>
      <c r="AA438" s="59">
        <f t="shared" si="103"/>
        <v>2263.3000000000002</v>
      </c>
      <c r="AB438" s="58">
        <v>2022</v>
      </c>
      <c r="AC438" s="123"/>
      <c r="AD438" s="100"/>
      <c r="AE438" s="100"/>
    </row>
    <row r="439" spans="1:31" x14ac:dyDescent="0.25">
      <c r="A439" s="54" t="s">
        <v>18</v>
      </c>
      <c r="B439" s="54" t="s">
        <v>18</v>
      </c>
      <c r="C439" s="54" t="s">
        <v>25</v>
      </c>
      <c r="D439" s="54" t="s">
        <v>18</v>
      </c>
      <c r="E439" s="54" t="s">
        <v>18</v>
      </c>
      <c r="F439" s="54" t="s">
        <v>18</v>
      </c>
      <c r="G439" s="54" t="s">
        <v>18</v>
      </c>
      <c r="H439" s="54" t="s">
        <v>19</v>
      </c>
      <c r="I439" s="54" t="s">
        <v>24</v>
      </c>
      <c r="J439" s="54" t="s">
        <v>18</v>
      </c>
      <c r="K439" s="54" t="s">
        <v>18</v>
      </c>
      <c r="L439" s="54" t="s">
        <v>20</v>
      </c>
      <c r="M439" s="54" t="s">
        <v>37</v>
      </c>
      <c r="N439" s="54" t="s">
        <v>43</v>
      </c>
      <c r="O439" s="54" t="s">
        <v>46</v>
      </c>
      <c r="P439" s="54" t="s">
        <v>18</v>
      </c>
      <c r="Q439" s="54" t="s">
        <v>18</v>
      </c>
      <c r="R439" s="160"/>
      <c r="S439" s="163"/>
      <c r="T439" s="1">
        <v>0</v>
      </c>
      <c r="U439" s="1">
        <v>0</v>
      </c>
      <c r="V439" s="1">
        <v>0</v>
      </c>
      <c r="W439" s="1">
        <v>399.4</v>
      </c>
      <c r="X439" s="1">
        <v>635.79999999999995</v>
      </c>
      <c r="Y439" s="1">
        <v>0</v>
      </c>
      <c r="Z439" s="1">
        <v>0</v>
      </c>
      <c r="AA439" s="59">
        <f t="shared" si="103"/>
        <v>1035.1999999999998</v>
      </c>
      <c r="AB439" s="58">
        <v>2022</v>
      </c>
      <c r="AC439" s="123"/>
      <c r="AD439" s="100"/>
      <c r="AE439" s="100"/>
    </row>
    <row r="440" spans="1:31" ht="47.25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80" t="s">
        <v>283</v>
      </c>
      <c r="S440" s="62" t="s">
        <v>52</v>
      </c>
      <c r="T440" s="3">
        <v>1.5</v>
      </c>
      <c r="U440" s="3">
        <v>0.8</v>
      </c>
      <c r="V440" s="3">
        <v>0.6</v>
      </c>
      <c r="W440" s="3">
        <v>0.4</v>
      </c>
      <c r="X440" s="3">
        <v>0.8</v>
      </c>
      <c r="Y440" s="3">
        <v>0</v>
      </c>
      <c r="Z440" s="3">
        <v>0</v>
      </c>
      <c r="AA440" s="6">
        <f t="shared" ref="AA440:AA442" si="104">SUM(T440:Y440)</f>
        <v>4.0999999999999996</v>
      </c>
      <c r="AB440" s="41">
        <v>2022</v>
      </c>
      <c r="AC440" s="127"/>
      <c r="AD440" s="100"/>
      <c r="AE440" s="100"/>
    </row>
    <row r="441" spans="1:31" ht="46.9" hidden="1" customHeight="1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80" t="s">
        <v>174</v>
      </c>
      <c r="S441" s="84" t="s">
        <v>173</v>
      </c>
      <c r="T441" s="3"/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6">
        <f t="shared" si="104"/>
        <v>0</v>
      </c>
      <c r="AB441" s="41">
        <v>2018</v>
      </c>
      <c r="AC441" s="127"/>
      <c r="AD441" s="100"/>
      <c r="AE441" s="100"/>
    </row>
    <row r="442" spans="1:31" ht="47.25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80" t="s">
        <v>284</v>
      </c>
      <c r="S442" s="84" t="s">
        <v>50</v>
      </c>
      <c r="T442" s="44">
        <v>10</v>
      </c>
      <c r="U442" s="44">
        <v>5</v>
      </c>
      <c r="V442" s="44">
        <v>2</v>
      </c>
      <c r="W442" s="44">
        <v>2</v>
      </c>
      <c r="X442" s="44">
        <v>2</v>
      </c>
      <c r="Y442" s="44">
        <v>0</v>
      </c>
      <c r="Z442" s="44">
        <v>0</v>
      </c>
      <c r="AA442" s="49">
        <f t="shared" si="104"/>
        <v>21</v>
      </c>
      <c r="AB442" s="41">
        <v>2022</v>
      </c>
      <c r="AC442" s="127"/>
      <c r="AD442" s="100"/>
      <c r="AE442" s="100"/>
    </row>
    <row r="443" spans="1:31" ht="31.5" x14ac:dyDescent="0.25">
      <c r="A443" s="54" t="s">
        <v>18</v>
      </c>
      <c r="B443" s="54" t="s">
        <v>19</v>
      </c>
      <c r="C443" s="54" t="s">
        <v>20</v>
      </c>
      <c r="D443" s="54" t="s">
        <v>18</v>
      </c>
      <c r="E443" s="54" t="s">
        <v>24</v>
      </c>
      <c r="F443" s="54" t="s">
        <v>18</v>
      </c>
      <c r="G443" s="54" t="s">
        <v>43</v>
      </c>
      <c r="H443" s="54" t="s">
        <v>19</v>
      </c>
      <c r="I443" s="54" t="s">
        <v>24</v>
      </c>
      <c r="J443" s="54" t="s">
        <v>18</v>
      </c>
      <c r="K443" s="54" t="s">
        <v>18</v>
      </c>
      <c r="L443" s="54" t="s">
        <v>20</v>
      </c>
      <c r="M443" s="54" t="s">
        <v>37</v>
      </c>
      <c r="N443" s="54" t="s">
        <v>43</v>
      </c>
      <c r="O443" s="54" t="s">
        <v>18</v>
      </c>
      <c r="P443" s="54" t="s">
        <v>18</v>
      </c>
      <c r="Q443" s="54" t="s">
        <v>18</v>
      </c>
      <c r="R443" s="77" t="s">
        <v>133</v>
      </c>
      <c r="S443" s="55" t="s">
        <v>0</v>
      </c>
      <c r="T443" s="1">
        <f>10000-9745-255</f>
        <v>0</v>
      </c>
      <c r="U443" s="1">
        <f>226.8-200-26.8</f>
        <v>0</v>
      </c>
      <c r="V443" s="1">
        <f>8228.3-8228.3</f>
        <v>0</v>
      </c>
      <c r="W443" s="1">
        <v>0</v>
      </c>
      <c r="X443" s="1">
        <f t="shared" ref="X443" si="105">8228.3-8228.3</f>
        <v>0</v>
      </c>
      <c r="Y443" s="1">
        <v>8000</v>
      </c>
      <c r="Z443" s="1">
        <v>10000</v>
      </c>
      <c r="AA443" s="59">
        <f t="shared" ref="AA443:AA478" si="106">SUM(T443:Z443)</f>
        <v>18000</v>
      </c>
      <c r="AB443" s="58">
        <v>2024</v>
      </c>
      <c r="AC443" s="117"/>
      <c r="AD443" s="100"/>
      <c r="AE443" s="100"/>
    </row>
    <row r="444" spans="1:31" ht="47.25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78" t="s">
        <v>285</v>
      </c>
      <c r="S444" s="62" t="s">
        <v>52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8</v>
      </c>
      <c r="Z444" s="3">
        <v>10</v>
      </c>
      <c r="AA444" s="6">
        <f t="shared" si="106"/>
        <v>18</v>
      </c>
      <c r="AB444" s="41">
        <v>2024</v>
      </c>
      <c r="AC444" s="127"/>
      <c r="AD444" s="100"/>
      <c r="AE444" s="100"/>
    </row>
    <row r="445" spans="1:31" ht="47.25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78" t="s">
        <v>286</v>
      </c>
      <c r="S445" s="62" t="s">
        <v>38</v>
      </c>
      <c r="T445" s="44">
        <v>0</v>
      </c>
      <c r="U445" s="44">
        <v>0</v>
      </c>
      <c r="V445" s="44">
        <v>0</v>
      </c>
      <c r="W445" s="44">
        <v>0</v>
      </c>
      <c r="X445" s="44">
        <v>0</v>
      </c>
      <c r="Y445" s="44">
        <v>8</v>
      </c>
      <c r="Z445" s="44">
        <v>10</v>
      </c>
      <c r="AA445" s="49">
        <f t="shared" si="106"/>
        <v>18</v>
      </c>
      <c r="AB445" s="41">
        <v>2024</v>
      </c>
      <c r="AC445" s="127"/>
      <c r="AD445" s="100"/>
      <c r="AE445" s="100"/>
    </row>
    <row r="446" spans="1:31" s="51" customFormat="1" x14ac:dyDescent="0.25">
      <c r="A446" s="54" t="s">
        <v>18</v>
      </c>
      <c r="B446" s="54" t="s">
        <v>24</v>
      </c>
      <c r="C446" s="54" t="s">
        <v>22</v>
      </c>
      <c r="D446" s="54" t="s">
        <v>18</v>
      </c>
      <c r="E446" s="54" t="s">
        <v>21</v>
      </c>
      <c r="F446" s="54" t="s">
        <v>18</v>
      </c>
      <c r="G446" s="54" t="s">
        <v>22</v>
      </c>
      <c r="H446" s="54" t="s">
        <v>19</v>
      </c>
      <c r="I446" s="54" t="s">
        <v>24</v>
      </c>
      <c r="J446" s="54" t="s">
        <v>18</v>
      </c>
      <c r="K446" s="54" t="s">
        <v>235</v>
      </c>
      <c r="L446" s="54" t="s">
        <v>20</v>
      </c>
      <c r="M446" s="54" t="s">
        <v>18</v>
      </c>
      <c r="N446" s="54" t="s">
        <v>18</v>
      </c>
      <c r="O446" s="54" t="s">
        <v>18</v>
      </c>
      <c r="P446" s="54" t="s">
        <v>18</v>
      </c>
      <c r="Q446" s="54" t="s">
        <v>18</v>
      </c>
      <c r="R446" s="158" t="s">
        <v>297</v>
      </c>
      <c r="S446" s="180" t="s">
        <v>0</v>
      </c>
      <c r="T446" s="59">
        <v>0</v>
      </c>
      <c r="U446" s="59">
        <f>2801.1-100-2701.1</f>
        <v>0</v>
      </c>
      <c r="V446" s="59">
        <f>2801.1-2801.1</f>
        <v>0</v>
      </c>
      <c r="W446" s="59">
        <f>SUM(W447:W448)</f>
        <v>15653.2</v>
      </c>
      <c r="X446" s="59">
        <f t="shared" ref="X446:Z446" si="107">SUM(X447:X448)</f>
        <v>11444.1</v>
      </c>
      <c r="Y446" s="59">
        <f t="shared" si="107"/>
        <v>0</v>
      </c>
      <c r="Z446" s="59">
        <f t="shared" si="107"/>
        <v>5000</v>
      </c>
      <c r="AA446" s="59">
        <f t="shared" ref="AA446:AA450" si="108">SUM(T446:Z446)</f>
        <v>32097.300000000003</v>
      </c>
      <c r="AB446" s="58">
        <v>2024</v>
      </c>
      <c r="AC446" s="33"/>
      <c r="AD446" s="50"/>
    </row>
    <row r="447" spans="1:31" s="51" customFormat="1" x14ac:dyDescent="0.25">
      <c r="A447" s="54" t="s">
        <v>18</v>
      </c>
      <c r="B447" s="54" t="s">
        <v>24</v>
      </c>
      <c r="C447" s="54" t="s">
        <v>22</v>
      </c>
      <c r="D447" s="54" t="s">
        <v>18</v>
      </c>
      <c r="E447" s="54" t="s">
        <v>21</v>
      </c>
      <c r="F447" s="54" t="s">
        <v>18</v>
      </c>
      <c r="G447" s="54" t="s">
        <v>22</v>
      </c>
      <c r="H447" s="54" t="s">
        <v>19</v>
      </c>
      <c r="I447" s="54" t="s">
        <v>24</v>
      </c>
      <c r="J447" s="54" t="s">
        <v>18</v>
      </c>
      <c r="K447" s="54" t="s">
        <v>235</v>
      </c>
      <c r="L447" s="54" t="s">
        <v>20</v>
      </c>
      <c r="M447" s="54" t="s">
        <v>21</v>
      </c>
      <c r="N447" s="54" t="s">
        <v>21</v>
      </c>
      <c r="O447" s="54" t="s">
        <v>21</v>
      </c>
      <c r="P447" s="54" t="s">
        <v>21</v>
      </c>
      <c r="Q447" s="54" t="s">
        <v>20</v>
      </c>
      <c r="R447" s="159"/>
      <c r="S447" s="181"/>
      <c r="T447" s="1">
        <v>0</v>
      </c>
      <c r="U447" s="1">
        <f t="shared" ref="U447:U448" si="109">2801.1-100-2701.1</f>
        <v>0</v>
      </c>
      <c r="V447" s="1">
        <f t="shared" ref="V447:V448" si="110">2801.1-2801.1</f>
        <v>0</v>
      </c>
      <c r="W447" s="1">
        <f>15752-435.9</f>
        <v>15316.1</v>
      </c>
      <c r="X447" s="1">
        <f>11439.8+115.6-111.3</f>
        <v>11444.1</v>
      </c>
      <c r="Y447" s="1">
        <v>0</v>
      </c>
      <c r="Z447" s="1">
        <v>5000</v>
      </c>
      <c r="AA447" s="59">
        <f t="shared" si="108"/>
        <v>31760.2</v>
      </c>
      <c r="AB447" s="58">
        <v>2024</v>
      </c>
      <c r="AC447" s="33"/>
      <c r="AD447" s="50"/>
    </row>
    <row r="448" spans="1:31" s="51" customFormat="1" x14ac:dyDescent="0.25">
      <c r="A448" s="54" t="s">
        <v>18</v>
      </c>
      <c r="B448" s="54" t="s">
        <v>24</v>
      </c>
      <c r="C448" s="54" t="s">
        <v>22</v>
      </c>
      <c r="D448" s="54" t="s">
        <v>18</v>
      </c>
      <c r="E448" s="54" t="s">
        <v>21</v>
      </c>
      <c r="F448" s="54" t="s">
        <v>18</v>
      </c>
      <c r="G448" s="54" t="s">
        <v>22</v>
      </c>
      <c r="H448" s="54" t="s">
        <v>19</v>
      </c>
      <c r="I448" s="54" t="s">
        <v>24</v>
      </c>
      <c r="J448" s="54" t="s">
        <v>18</v>
      </c>
      <c r="K448" s="54" t="s">
        <v>235</v>
      </c>
      <c r="L448" s="54" t="s">
        <v>20</v>
      </c>
      <c r="M448" s="54" t="s">
        <v>18</v>
      </c>
      <c r="N448" s="54" t="s">
        <v>18</v>
      </c>
      <c r="O448" s="54" t="s">
        <v>21</v>
      </c>
      <c r="P448" s="54" t="s">
        <v>21</v>
      </c>
      <c r="Q448" s="54" t="s">
        <v>20</v>
      </c>
      <c r="R448" s="160"/>
      <c r="S448" s="182"/>
      <c r="T448" s="1">
        <v>0</v>
      </c>
      <c r="U448" s="1">
        <f t="shared" si="109"/>
        <v>0</v>
      </c>
      <c r="V448" s="1">
        <f t="shared" si="110"/>
        <v>0</v>
      </c>
      <c r="W448" s="1">
        <v>337.1</v>
      </c>
      <c r="X448" s="1">
        <f>247.3-247.3</f>
        <v>0</v>
      </c>
      <c r="Y448" s="1">
        <v>0</v>
      </c>
      <c r="Z448" s="1">
        <v>0</v>
      </c>
      <c r="AA448" s="59">
        <f t="shared" si="108"/>
        <v>337.1</v>
      </c>
      <c r="AB448" s="58">
        <v>2024</v>
      </c>
      <c r="AC448" s="33"/>
      <c r="AD448" s="50"/>
    </row>
    <row r="449" spans="1:30" s="51" customFormat="1" ht="31.5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40" t="s">
        <v>229</v>
      </c>
      <c r="S449" s="52" t="s">
        <v>38</v>
      </c>
      <c r="T449" s="44">
        <v>0</v>
      </c>
      <c r="U449" s="44">
        <v>0</v>
      </c>
      <c r="V449" s="44">
        <v>0</v>
      </c>
      <c r="W449" s="44">
        <v>2</v>
      </c>
      <c r="X449" s="44">
        <v>1</v>
      </c>
      <c r="Y449" s="44">
        <v>0</v>
      </c>
      <c r="Z449" s="44">
        <v>2</v>
      </c>
      <c r="AA449" s="49">
        <f>SUM(T449:Z449)</f>
        <v>5</v>
      </c>
      <c r="AB449" s="152">
        <v>2024</v>
      </c>
      <c r="AC449" s="33"/>
      <c r="AD449" s="50"/>
    </row>
    <row r="450" spans="1:30" s="8" customFormat="1" ht="31.5" x14ac:dyDescent="0.2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61" t="s">
        <v>230</v>
      </c>
      <c r="S450" s="62" t="s">
        <v>52</v>
      </c>
      <c r="T450" s="3">
        <v>0</v>
      </c>
      <c r="U450" s="3">
        <v>0</v>
      </c>
      <c r="V450" s="3">
        <v>0</v>
      </c>
      <c r="W450" s="3">
        <v>6.4</v>
      </c>
      <c r="X450" s="3">
        <v>3.7</v>
      </c>
      <c r="Y450" s="3">
        <v>0</v>
      </c>
      <c r="Z450" s="3">
        <v>5</v>
      </c>
      <c r="AA450" s="53">
        <f t="shared" si="108"/>
        <v>15.100000000000001</v>
      </c>
      <c r="AB450" s="152">
        <v>2024</v>
      </c>
      <c r="AC450" s="33"/>
      <c r="AD450" s="60"/>
    </row>
    <row r="451" spans="1:30" s="51" customFormat="1" ht="47.25" hidden="1" x14ac:dyDescent="0.25">
      <c r="A451" s="54" t="s">
        <v>18</v>
      </c>
      <c r="B451" s="54" t="s">
        <v>18</v>
      </c>
      <c r="C451" s="54" t="s">
        <v>22</v>
      </c>
      <c r="D451" s="54" t="s">
        <v>18</v>
      </c>
      <c r="E451" s="54" t="s">
        <v>21</v>
      </c>
      <c r="F451" s="54" t="s">
        <v>18</v>
      </c>
      <c r="G451" s="54" t="s">
        <v>22</v>
      </c>
      <c r="H451" s="54" t="s">
        <v>19</v>
      </c>
      <c r="I451" s="54" t="s">
        <v>24</v>
      </c>
      <c r="J451" s="54" t="s">
        <v>18</v>
      </c>
      <c r="K451" s="54" t="s">
        <v>235</v>
      </c>
      <c r="L451" s="54" t="s">
        <v>20</v>
      </c>
      <c r="M451" s="54" t="s">
        <v>21</v>
      </c>
      <c r="N451" s="54" t="s">
        <v>21</v>
      </c>
      <c r="O451" s="54" t="s">
        <v>21</v>
      </c>
      <c r="P451" s="54" t="s">
        <v>21</v>
      </c>
      <c r="Q451" s="54" t="s">
        <v>20</v>
      </c>
      <c r="R451" s="149" t="s">
        <v>297</v>
      </c>
      <c r="S451" s="55" t="s">
        <v>0</v>
      </c>
      <c r="T451" s="1">
        <v>0</v>
      </c>
      <c r="U451" s="1">
        <f>3100.4-200-2900.4</f>
        <v>0</v>
      </c>
      <c r="V451" s="1">
        <f>2000.4-2000.4</f>
        <v>0</v>
      </c>
      <c r="W451" s="1">
        <v>0</v>
      </c>
      <c r="X451" s="1">
        <f>3100.4-200-2900.4</f>
        <v>0</v>
      </c>
      <c r="Y451" s="1">
        <f>2000.4-2000.4</f>
        <v>0</v>
      </c>
      <c r="Z451" s="1">
        <v>0</v>
      </c>
      <c r="AA451" s="59">
        <f t="shared" si="106"/>
        <v>0</v>
      </c>
      <c r="AB451" s="58">
        <v>2024</v>
      </c>
      <c r="AC451" s="33"/>
      <c r="AD451" s="50"/>
    </row>
    <row r="452" spans="1:30" s="51" customFormat="1" ht="47.25" hidden="1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40" t="s">
        <v>126</v>
      </c>
      <c r="S452" s="52" t="s">
        <v>38</v>
      </c>
      <c r="T452" s="44">
        <v>0</v>
      </c>
      <c r="U452" s="44">
        <v>0</v>
      </c>
      <c r="V452" s="44">
        <f>12-12</f>
        <v>0</v>
      </c>
      <c r="W452" s="44">
        <v>0</v>
      </c>
      <c r="X452" s="44">
        <v>0</v>
      </c>
      <c r="Y452" s="44">
        <f>12-12</f>
        <v>0</v>
      </c>
      <c r="Z452" s="44">
        <v>0</v>
      </c>
      <c r="AA452" s="49">
        <f t="shared" si="106"/>
        <v>0</v>
      </c>
      <c r="AB452" s="152">
        <v>2024</v>
      </c>
      <c r="AC452" s="33"/>
      <c r="AD452" s="50"/>
    </row>
    <row r="453" spans="1:30" s="51" customFormat="1" ht="47.25" hidden="1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40" t="s">
        <v>127</v>
      </c>
      <c r="S453" s="52" t="s">
        <v>52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53">
        <f t="shared" si="106"/>
        <v>0</v>
      </c>
      <c r="AB453" s="152">
        <v>2024</v>
      </c>
      <c r="AC453" s="33"/>
      <c r="AD453" s="50"/>
    </row>
    <row r="454" spans="1:30" s="51" customFormat="1" ht="47.25" hidden="1" x14ac:dyDescent="0.25">
      <c r="A454" s="54" t="s">
        <v>18</v>
      </c>
      <c r="B454" s="54" t="s">
        <v>18</v>
      </c>
      <c r="C454" s="54" t="s">
        <v>24</v>
      </c>
      <c r="D454" s="54" t="s">
        <v>18</v>
      </c>
      <c r="E454" s="54" t="s">
        <v>21</v>
      </c>
      <c r="F454" s="54" t="s">
        <v>18</v>
      </c>
      <c r="G454" s="54" t="s">
        <v>22</v>
      </c>
      <c r="H454" s="54" t="s">
        <v>19</v>
      </c>
      <c r="I454" s="54" t="s">
        <v>24</v>
      </c>
      <c r="J454" s="54" t="s">
        <v>18</v>
      </c>
      <c r="K454" s="54" t="s">
        <v>235</v>
      </c>
      <c r="L454" s="54" t="s">
        <v>20</v>
      </c>
      <c r="M454" s="54" t="s">
        <v>21</v>
      </c>
      <c r="N454" s="54" t="s">
        <v>21</v>
      </c>
      <c r="O454" s="54" t="s">
        <v>21</v>
      </c>
      <c r="P454" s="54" t="s">
        <v>21</v>
      </c>
      <c r="Q454" s="54" t="s">
        <v>20</v>
      </c>
      <c r="R454" s="149" t="s">
        <v>297</v>
      </c>
      <c r="S454" s="55" t="s">
        <v>0</v>
      </c>
      <c r="T454" s="1">
        <v>0</v>
      </c>
      <c r="U454" s="1">
        <f>2000-100-1900</f>
        <v>0</v>
      </c>
      <c r="V454" s="1">
        <f>2000-2000</f>
        <v>0</v>
      </c>
      <c r="W454" s="1">
        <v>0</v>
      </c>
      <c r="X454" s="1">
        <f>2000-100-1900</f>
        <v>0</v>
      </c>
      <c r="Y454" s="1">
        <f>2000-2000</f>
        <v>0</v>
      </c>
      <c r="Z454" s="1">
        <v>0</v>
      </c>
      <c r="AA454" s="59">
        <f t="shared" si="106"/>
        <v>0</v>
      </c>
      <c r="AB454" s="58">
        <v>2024</v>
      </c>
      <c r="AC454" s="33"/>
      <c r="AD454" s="50"/>
    </row>
    <row r="455" spans="1:30" s="51" customFormat="1" ht="47.25" hidden="1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40" t="s">
        <v>243</v>
      </c>
      <c r="S455" s="52" t="s">
        <v>38</v>
      </c>
      <c r="T455" s="44">
        <v>0</v>
      </c>
      <c r="U455" s="44">
        <v>0</v>
      </c>
      <c r="V455" s="44">
        <v>0</v>
      </c>
      <c r="W455" s="44">
        <v>0</v>
      </c>
      <c r="X455" s="44">
        <v>0</v>
      </c>
      <c r="Y455" s="44">
        <v>0</v>
      </c>
      <c r="Z455" s="44">
        <v>0</v>
      </c>
      <c r="AA455" s="49">
        <f t="shared" si="106"/>
        <v>0</v>
      </c>
      <c r="AB455" s="152">
        <v>2024</v>
      </c>
      <c r="AC455" s="33"/>
      <c r="AD455" s="50"/>
    </row>
    <row r="456" spans="1:30" s="51" customFormat="1" ht="47.25" hidden="1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40" t="s">
        <v>244</v>
      </c>
      <c r="S456" s="52" t="s">
        <v>52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53">
        <f t="shared" si="106"/>
        <v>0</v>
      </c>
      <c r="AB456" s="152">
        <v>2024</v>
      </c>
      <c r="AC456" s="120"/>
      <c r="AD456" s="112"/>
    </row>
    <row r="457" spans="1:30" s="51" customFormat="1" ht="47.25" hidden="1" x14ac:dyDescent="0.25">
      <c r="A457" s="54" t="s">
        <v>18</v>
      </c>
      <c r="B457" s="54" t="s">
        <v>18</v>
      </c>
      <c r="C457" s="54" t="s">
        <v>21</v>
      </c>
      <c r="D457" s="54" t="s">
        <v>18</v>
      </c>
      <c r="E457" s="54" t="s">
        <v>21</v>
      </c>
      <c r="F457" s="54" t="s">
        <v>18</v>
      </c>
      <c r="G457" s="54" t="s">
        <v>22</v>
      </c>
      <c r="H457" s="54" t="s">
        <v>19</v>
      </c>
      <c r="I457" s="54" t="s">
        <v>24</v>
      </c>
      <c r="J457" s="54" t="s">
        <v>18</v>
      </c>
      <c r="K457" s="54" t="s">
        <v>235</v>
      </c>
      <c r="L457" s="54" t="s">
        <v>20</v>
      </c>
      <c r="M457" s="54" t="s">
        <v>21</v>
      </c>
      <c r="N457" s="54" t="s">
        <v>21</v>
      </c>
      <c r="O457" s="54" t="s">
        <v>21</v>
      </c>
      <c r="P457" s="54" t="s">
        <v>21</v>
      </c>
      <c r="Q457" s="54" t="s">
        <v>20</v>
      </c>
      <c r="R457" s="149" t="s">
        <v>298</v>
      </c>
      <c r="S457" s="55" t="s">
        <v>0</v>
      </c>
      <c r="T457" s="1">
        <v>0</v>
      </c>
      <c r="U457" s="1">
        <f>2860.5-100-2760.5</f>
        <v>0</v>
      </c>
      <c r="V457" s="1">
        <f>2860.6-2860.6</f>
        <v>0</v>
      </c>
      <c r="W457" s="1">
        <v>0</v>
      </c>
      <c r="X457" s="1">
        <f>2860.5-100-2760.5</f>
        <v>0</v>
      </c>
      <c r="Y457" s="1">
        <f>2860.6-2860.6</f>
        <v>0</v>
      </c>
      <c r="Z457" s="1">
        <v>0</v>
      </c>
      <c r="AA457" s="59">
        <f t="shared" si="106"/>
        <v>0</v>
      </c>
      <c r="AB457" s="58">
        <v>2024</v>
      </c>
      <c r="AC457" s="33"/>
      <c r="AD457" s="50"/>
    </row>
    <row r="458" spans="1:30" s="51" customFormat="1" ht="47.25" hidden="1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40" t="s">
        <v>245</v>
      </c>
      <c r="S458" s="52" t="s">
        <v>38</v>
      </c>
      <c r="T458" s="44">
        <v>0</v>
      </c>
      <c r="U458" s="44">
        <v>0</v>
      </c>
      <c r="V458" s="44">
        <v>0</v>
      </c>
      <c r="W458" s="44">
        <v>0</v>
      </c>
      <c r="X458" s="44">
        <v>0</v>
      </c>
      <c r="Y458" s="44">
        <v>0</v>
      </c>
      <c r="Z458" s="44">
        <v>0</v>
      </c>
      <c r="AA458" s="49">
        <f t="shared" si="106"/>
        <v>0</v>
      </c>
      <c r="AB458" s="152">
        <v>2024</v>
      </c>
      <c r="AC458" s="33"/>
      <c r="AD458" s="50"/>
    </row>
    <row r="459" spans="1:30" s="51" customFormat="1" ht="47.25" hidden="1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40" t="s">
        <v>246</v>
      </c>
      <c r="S459" s="52" t="s">
        <v>52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53">
        <f t="shared" si="106"/>
        <v>0</v>
      </c>
      <c r="AB459" s="152">
        <v>2024</v>
      </c>
      <c r="AC459" s="33"/>
      <c r="AD459" s="50"/>
    </row>
    <row r="460" spans="1:30" s="51" customFormat="1" ht="47.25" hidden="1" x14ac:dyDescent="0.25">
      <c r="A460" s="54" t="s">
        <v>18</v>
      </c>
      <c r="B460" s="54" t="s">
        <v>18</v>
      </c>
      <c r="C460" s="54" t="s">
        <v>25</v>
      </c>
      <c r="D460" s="54" t="s">
        <v>18</v>
      </c>
      <c r="E460" s="54" t="s">
        <v>21</v>
      </c>
      <c r="F460" s="54" t="s">
        <v>18</v>
      </c>
      <c r="G460" s="54" t="s">
        <v>22</v>
      </c>
      <c r="H460" s="54" t="s">
        <v>19</v>
      </c>
      <c r="I460" s="54" t="s">
        <v>24</v>
      </c>
      <c r="J460" s="54" t="s">
        <v>18</v>
      </c>
      <c r="K460" s="54" t="s">
        <v>235</v>
      </c>
      <c r="L460" s="54" t="s">
        <v>20</v>
      </c>
      <c r="M460" s="54" t="s">
        <v>21</v>
      </c>
      <c r="N460" s="54" t="s">
        <v>21</v>
      </c>
      <c r="O460" s="54" t="s">
        <v>21</v>
      </c>
      <c r="P460" s="54" t="s">
        <v>21</v>
      </c>
      <c r="Q460" s="54" t="s">
        <v>20</v>
      </c>
      <c r="R460" s="149" t="s">
        <v>297</v>
      </c>
      <c r="S460" s="55" t="s">
        <v>0</v>
      </c>
      <c r="T460" s="1">
        <v>0</v>
      </c>
      <c r="U460" s="1">
        <f>2801.1-100-2701.1</f>
        <v>0</v>
      </c>
      <c r="V460" s="1">
        <f>2801.1-2801.1</f>
        <v>0</v>
      </c>
      <c r="W460" s="1">
        <v>0</v>
      </c>
      <c r="X460" s="1">
        <f>2801.1-100-2701.1</f>
        <v>0</v>
      </c>
      <c r="Y460" s="1">
        <f>2801.1-2801.1</f>
        <v>0</v>
      </c>
      <c r="Z460" s="1">
        <v>0</v>
      </c>
      <c r="AA460" s="59">
        <f t="shared" si="106"/>
        <v>0</v>
      </c>
      <c r="AB460" s="58">
        <v>2024</v>
      </c>
      <c r="AC460" s="33"/>
      <c r="AD460" s="50"/>
    </row>
    <row r="461" spans="1:30" s="51" customFormat="1" ht="47.25" hidden="1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40" t="s">
        <v>247</v>
      </c>
      <c r="S461" s="52" t="s">
        <v>38</v>
      </c>
      <c r="T461" s="44">
        <v>0</v>
      </c>
      <c r="U461" s="44">
        <v>0</v>
      </c>
      <c r="V461" s="44">
        <v>0</v>
      </c>
      <c r="W461" s="44">
        <v>0</v>
      </c>
      <c r="X461" s="44">
        <v>0</v>
      </c>
      <c r="Y461" s="44">
        <v>0</v>
      </c>
      <c r="Z461" s="44">
        <v>0</v>
      </c>
      <c r="AA461" s="49">
        <f t="shared" si="106"/>
        <v>0</v>
      </c>
      <c r="AB461" s="152">
        <v>2024</v>
      </c>
      <c r="AC461" s="33"/>
      <c r="AD461" s="50"/>
    </row>
    <row r="462" spans="1:30" s="51" customFormat="1" ht="47.25" hidden="1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40" t="s">
        <v>248</v>
      </c>
      <c r="S462" s="52" t="s">
        <v>52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53">
        <f t="shared" si="106"/>
        <v>0</v>
      </c>
      <c r="AB462" s="152">
        <v>2024</v>
      </c>
      <c r="AC462" s="33"/>
      <c r="AD462" s="50"/>
    </row>
    <row r="463" spans="1:30" s="51" customFormat="1" hidden="1" x14ac:dyDescent="0.25">
      <c r="A463" s="54" t="s">
        <v>18</v>
      </c>
      <c r="B463" s="54" t="s">
        <v>24</v>
      </c>
      <c r="C463" s="54" t="s">
        <v>22</v>
      </c>
      <c r="D463" s="54" t="s">
        <v>18</v>
      </c>
      <c r="E463" s="54" t="s">
        <v>21</v>
      </c>
      <c r="F463" s="54" t="s">
        <v>18</v>
      </c>
      <c r="G463" s="54" t="s">
        <v>22</v>
      </c>
      <c r="H463" s="54" t="s">
        <v>19</v>
      </c>
      <c r="I463" s="54" t="s">
        <v>24</v>
      </c>
      <c r="J463" s="54" t="s">
        <v>18</v>
      </c>
      <c r="K463" s="54" t="s">
        <v>235</v>
      </c>
      <c r="L463" s="54" t="s">
        <v>20</v>
      </c>
      <c r="M463" s="54" t="s">
        <v>18</v>
      </c>
      <c r="N463" s="54" t="s">
        <v>18</v>
      </c>
      <c r="O463" s="54" t="s">
        <v>18</v>
      </c>
      <c r="P463" s="54" t="s">
        <v>18</v>
      </c>
      <c r="Q463" s="54" t="s">
        <v>18</v>
      </c>
      <c r="R463" s="158" t="s">
        <v>297</v>
      </c>
      <c r="S463" s="183" t="s">
        <v>0</v>
      </c>
      <c r="T463" s="1">
        <v>0</v>
      </c>
      <c r="U463" s="1">
        <f>2801.1-100-2701.1</f>
        <v>0</v>
      </c>
      <c r="V463" s="1">
        <f>2801.1-2801.1</f>
        <v>0</v>
      </c>
      <c r="W463" s="1"/>
      <c r="X463" s="1"/>
      <c r="Y463" s="1"/>
      <c r="Z463" s="1"/>
      <c r="AA463" s="59"/>
      <c r="AB463" s="58"/>
      <c r="AC463" s="33"/>
      <c r="AD463" s="50"/>
    </row>
    <row r="464" spans="1:30" s="51" customFormat="1" hidden="1" x14ac:dyDescent="0.25">
      <c r="A464" s="54" t="s">
        <v>18</v>
      </c>
      <c r="B464" s="54" t="s">
        <v>24</v>
      </c>
      <c r="C464" s="54" t="s">
        <v>22</v>
      </c>
      <c r="D464" s="54" t="s">
        <v>18</v>
      </c>
      <c r="E464" s="54" t="s">
        <v>21</v>
      </c>
      <c r="F464" s="54" t="s">
        <v>18</v>
      </c>
      <c r="G464" s="54" t="s">
        <v>22</v>
      </c>
      <c r="H464" s="54" t="s">
        <v>19</v>
      </c>
      <c r="I464" s="54" t="s">
        <v>24</v>
      </c>
      <c r="J464" s="54" t="s">
        <v>18</v>
      </c>
      <c r="K464" s="54" t="s">
        <v>235</v>
      </c>
      <c r="L464" s="54" t="s">
        <v>20</v>
      </c>
      <c r="M464" s="54" t="s">
        <v>21</v>
      </c>
      <c r="N464" s="54" t="s">
        <v>21</v>
      </c>
      <c r="O464" s="54" t="s">
        <v>21</v>
      </c>
      <c r="P464" s="54" t="s">
        <v>21</v>
      </c>
      <c r="Q464" s="54" t="s">
        <v>20</v>
      </c>
      <c r="R464" s="159"/>
      <c r="S464" s="184"/>
      <c r="T464" s="1">
        <v>0</v>
      </c>
      <c r="U464" s="1">
        <f t="shared" ref="U464:U465" si="111">2801.1-100-2701.1</f>
        <v>0</v>
      </c>
      <c r="V464" s="1">
        <f t="shared" ref="V464:V465" si="112">2801.1-2801.1</f>
        <v>0</v>
      </c>
      <c r="W464" s="1"/>
      <c r="X464" s="1"/>
      <c r="Y464" s="1"/>
      <c r="Z464" s="1"/>
      <c r="AA464" s="59"/>
      <c r="AB464" s="58"/>
      <c r="AC464" s="33"/>
      <c r="AD464" s="50"/>
    </row>
    <row r="465" spans="1:31" s="51" customFormat="1" hidden="1" x14ac:dyDescent="0.25">
      <c r="A465" s="54" t="s">
        <v>18</v>
      </c>
      <c r="B465" s="54" t="s">
        <v>24</v>
      </c>
      <c r="C465" s="54" t="s">
        <v>22</v>
      </c>
      <c r="D465" s="54" t="s">
        <v>18</v>
      </c>
      <c r="E465" s="54" t="s">
        <v>21</v>
      </c>
      <c r="F465" s="54" t="s">
        <v>18</v>
      </c>
      <c r="G465" s="54" t="s">
        <v>22</v>
      </c>
      <c r="H465" s="54" t="s">
        <v>19</v>
      </c>
      <c r="I465" s="54" t="s">
        <v>24</v>
      </c>
      <c r="J465" s="54" t="s">
        <v>18</v>
      </c>
      <c r="K465" s="54" t="s">
        <v>235</v>
      </c>
      <c r="L465" s="54" t="s">
        <v>20</v>
      </c>
      <c r="M465" s="54" t="s">
        <v>18</v>
      </c>
      <c r="N465" s="54" t="s">
        <v>18</v>
      </c>
      <c r="O465" s="54" t="s">
        <v>21</v>
      </c>
      <c r="P465" s="54" t="s">
        <v>21</v>
      </c>
      <c r="Q465" s="54" t="s">
        <v>20</v>
      </c>
      <c r="R465" s="160"/>
      <c r="S465" s="185"/>
      <c r="T465" s="1">
        <v>0</v>
      </c>
      <c r="U465" s="1">
        <f t="shared" si="111"/>
        <v>0</v>
      </c>
      <c r="V465" s="1">
        <f t="shared" si="112"/>
        <v>0</v>
      </c>
      <c r="W465" s="1"/>
      <c r="X465" s="1"/>
      <c r="Y465" s="1"/>
      <c r="Z465" s="1"/>
      <c r="AA465" s="59"/>
      <c r="AB465" s="58"/>
      <c r="AC465" s="33"/>
      <c r="AD465" s="50"/>
    </row>
    <row r="466" spans="1:31" s="51" customFormat="1" ht="47.25" hidden="1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40" t="s">
        <v>304</v>
      </c>
      <c r="S466" s="52" t="s">
        <v>38</v>
      </c>
      <c r="T466" s="44"/>
      <c r="U466" s="44"/>
      <c r="V466" s="44"/>
      <c r="W466" s="44"/>
      <c r="X466" s="44"/>
      <c r="Y466" s="44"/>
      <c r="Z466" s="44"/>
      <c r="AA466" s="49"/>
      <c r="AB466" s="152"/>
      <c r="AC466" s="33"/>
      <c r="AD466" s="50"/>
    </row>
    <row r="467" spans="1:31" s="51" customFormat="1" ht="47.25" hidden="1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40" t="s">
        <v>305</v>
      </c>
      <c r="S467" s="52" t="s">
        <v>52</v>
      </c>
      <c r="T467" s="3"/>
      <c r="U467" s="3"/>
      <c r="V467" s="3"/>
      <c r="W467" s="3"/>
      <c r="X467" s="3"/>
      <c r="Y467" s="3"/>
      <c r="Z467" s="3"/>
      <c r="AA467" s="53"/>
      <c r="AB467" s="152"/>
      <c r="AC467" s="33"/>
      <c r="AD467" s="50"/>
    </row>
    <row r="468" spans="1:31" s="51" customFormat="1" ht="31.5" x14ac:dyDescent="0.25">
      <c r="A468" s="54" t="s">
        <v>18</v>
      </c>
      <c r="B468" s="54" t="s">
        <v>18</v>
      </c>
      <c r="C468" s="54" t="s">
        <v>43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19</v>
      </c>
      <c r="L468" s="54" t="s">
        <v>327</v>
      </c>
      <c r="M468" s="54" t="s">
        <v>43</v>
      </c>
      <c r="N468" s="54" t="s">
        <v>43</v>
      </c>
      <c r="O468" s="54" t="s">
        <v>43</v>
      </c>
      <c r="P468" s="54" t="s">
        <v>18</v>
      </c>
      <c r="Q468" s="54" t="s">
        <v>18</v>
      </c>
      <c r="R468" s="77" t="s">
        <v>308</v>
      </c>
      <c r="S468" s="55" t="s">
        <v>0</v>
      </c>
      <c r="T468" s="59">
        <f>10000-9745-255</f>
        <v>0</v>
      </c>
      <c r="U468" s="59">
        <f>226.8-200-26.8</f>
        <v>0</v>
      </c>
      <c r="V468" s="59">
        <f>8228.3-8228.3</f>
        <v>0</v>
      </c>
      <c r="W468" s="59">
        <f>5000-3206.5-1793.5</f>
        <v>0</v>
      </c>
      <c r="X468" s="59">
        <f>5000+11000-11034.6-4965.4</f>
        <v>0</v>
      </c>
      <c r="Y468" s="59">
        <v>5000</v>
      </c>
      <c r="Z468" s="59">
        <v>5000</v>
      </c>
      <c r="AA468" s="59">
        <f t="shared" ref="AA468:AA470" si="113">SUM(T468:Z468)</f>
        <v>10000</v>
      </c>
      <c r="AB468" s="58">
        <v>2024</v>
      </c>
      <c r="AC468" s="33"/>
      <c r="AD468" s="50"/>
    </row>
    <row r="469" spans="1:31" s="51" customFormat="1" ht="31.5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78" t="s">
        <v>306</v>
      </c>
      <c r="S469" s="62" t="s">
        <v>52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4</v>
      </c>
      <c r="Z469" s="3">
        <v>4</v>
      </c>
      <c r="AA469" s="6">
        <f t="shared" si="113"/>
        <v>8</v>
      </c>
      <c r="AB469" s="41">
        <v>2024</v>
      </c>
      <c r="AC469" s="33"/>
      <c r="AD469" s="50"/>
    </row>
    <row r="470" spans="1:31" s="51" customFormat="1" ht="31.5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78" t="s">
        <v>307</v>
      </c>
      <c r="S470" s="62" t="s">
        <v>38</v>
      </c>
      <c r="T470" s="44">
        <v>0</v>
      </c>
      <c r="U470" s="44">
        <v>0</v>
      </c>
      <c r="V470" s="44">
        <v>0</v>
      </c>
      <c r="W470" s="44">
        <v>0</v>
      </c>
      <c r="X470" s="44">
        <v>0</v>
      </c>
      <c r="Y470" s="44">
        <v>4</v>
      </c>
      <c r="Z470" s="44">
        <v>4</v>
      </c>
      <c r="AA470" s="49">
        <f t="shared" si="113"/>
        <v>8</v>
      </c>
      <c r="AB470" s="41">
        <v>2024</v>
      </c>
      <c r="AC470" s="33"/>
      <c r="AD470" s="50"/>
    </row>
    <row r="471" spans="1:31" ht="78.75" x14ac:dyDescent="0.25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151" t="s">
        <v>334</v>
      </c>
      <c r="S471" s="55" t="s">
        <v>41</v>
      </c>
      <c r="T471" s="56">
        <v>0</v>
      </c>
      <c r="U471" s="56">
        <v>0</v>
      </c>
      <c r="V471" s="56">
        <v>0</v>
      </c>
      <c r="W471" s="56">
        <v>1</v>
      </c>
      <c r="X471" s="56">
        <v>1</v>
      </c>
      <c r="Y471" s="56">
        <v>1</v>
      </c>
      <c r="Z471" s="56">
        <v>1</v>
      </c>
      <c r="AA471" s="57">
        <v>1</v>
      </c>
      <c r="AB471" s="58">
        <v>2024</v>
      </c>
      <c r="AD471" s="103"/>
      <c r="AE471" s="103"/>
    </row>
    <row r="472" spans="1:31" ht="78.75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40" t="s">
        <v>335</v>
      </c>
      <c r="S472" s="62" t="s">
        <v>38</v>
      </c>
      <c r="T472" s="44">
        <v>0</v>
      </c>
      <c r="U472" s="44">
        <v>0</v>
      </c>
      <c r="V472" s="44">
        <v>0</v>
      </c>
      <c r="W472" s="44">
        <v>4</v>
      </c>
      <c r="X472" s="44">
        <v>4</v>
      </c>
      <c r="Y472" s="44">
        <v>4</v>
      </c>
      <c r="Z472" s="44">
        <v>4</v>
      </c>
      <c r="AA472" s="49">
        <f>SUM(T472:Z472)</f>
        <v>16</v>
      </c>
      <c r="AB472" s="41">
        <v>2024</v>
      </c>
      <c r="AD472" s="103"/>
      <c r="AE472" s="103"/>
    </row>
    <row r="473" spans="1:31" ht="63" x14ac:dyDescent="0.25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151" t="s">
        <v>336</v>
      </c>
      <c r="S473" s="55" t="s">
        <v>41</v>
      </c>
      <c r="T473" s="56">
        <v>0</v>
      </c>
      <c r="U473" s="56">
        <v>0</v>
      </c>
      <c r="V473" s="56">
        <v>0</v>
      </c>
      <c r="W473" s="56">
        <v>1</v>
      </c>
      <c r="X473" s="56">
        <v>1</v>
      </c>
      <c r="Y473" s="56">
        <v>1</v>
      </c>
      <c r="Z473" s="56">
        <v>1</v>
      </c>
      <c r="AA473" s="57">
        <v>1</v>
      </c>
      <c r="AB473" s="58">
        <v>2024</v>
      </c>
      <c r="AD473" s="103"/>
      <c r="AE473" s="103"/>
    </row>
    <row r="474" spans="1:31" ht="78.75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40" t="s">
        <v>339</v>
      </c>
      <c r="S474" s="62" t="s">
        <v>38</v>
      </c>
      <c r="T474" s="44">
        <v>0</v>
      </c>
      <c r="U474" s="44">
        <v>0</v>
      </c>
      <c r="V474" s="44">
        <v>0</v>
      </c>
      <c r="W474" s="44">
        <v>12</v>
      </c>
      <c r="X474" s="44">
        <v>12</v>
      </c>
      <c r="Y474" s="44">
        <v>12</v>
      </c>
      <c r="Z474" s="44">
        <v>12</v>
      </c>
      <c r="AA474" s="49">
        <f>SUM(T474:Z474)</f>
        <v>48</v>
      </c>
      <c r="AB474" s="41">
        <v>2024</v>
      </c>
      <c r="AD474" s="103"/>
      <c r="AE474" s="103"/>
    </row>
    <row r="475" spans="1:31" ht="47.25" x14ac:dyDescent="0.25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151" t="s">
        <v>341</v>
      </c>
      <c r="S475" s="55" t="s">
        <v>41</v>
      </c>
      <c r="T475" s="56">
        <v>0</v>
      </c>
      <c r="U475" s="56">
        <v>0</v>
      </c>
      <c r="V475" s="56">
        <v>0</v>
      </c>
      <c r="W475" s="56">
        <v>1</v>
      </c>
      <c r="X475" s="56">
        <v>1</v>
      </c>
      <c r="Y475" s="56">
        <v>1</v>
      </c>
      <c r="Z475" s="56">
        <v>1</v>
      </c>
      <c r="AA475" s="57">
        <v>1</v>
      </c>
      <c r="AB475" s="58">
        <v>2022</v>
      </c>
      <c r="AD475" s="103"/>
      <c r="AE475" s="103"/>
    </row>
    <row r="476" spans="1:31" ht="47.25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40" t="s">
        <v>340</v>
      </c>
      <c r="S476" s="62" t="s">
        <v>52</v>
      </c>
      <c r="T476" s="44">
        <v>0</v>
      </c>
      <c r="U476" s="44">
        <v>0</v>
      </c>
      <c r="V476" s="44">
        <v>0</v>
      </c>
      <c r="W476" s="3">
        <v>20.5</v>
      </c>
      <c r="X476" s="3">
        <v>10</v>
      </c>
      <c r="Y476" s="44">
        <v>5</v>
      </c>
      <c r="Z476" s="44">
        <v>5</v>
      </c>
      <c r="AA476" s="6">
        <f>SUM(W476:Z476)</f>
        <v>40.5</v>
      </c>
      <c r="AB476" s="41">
        <v>2022</v>
      </c>
      <c r="AD476" s="103"/>
      <c r="AE476" s="103"/>
    </row>
    <row r="477" spans="1:31" ht="57" customHeight="1" x14ac:dyDescent="0.25">
      <c r="A477" s="46"/>
      <c r="B477" s="46"/>
      <c r="C477" s="46"/>
      <c r="D477" s="46"/>
      <c r="E477" s="46"/>
      <c r="F477" s="46"/>
      <c r="G477" s="46"/>
      <c r="H477" s="46" t="s">
        <v>19</v>
      </c>
      <c r="I477" s="46" t="s">
        <v>24</v>
      </c>
      <c r="J477" s="46" t="s">
        <v>18</v>
      </c>
      <c r="K477" s="46" t="s">
        <v>18</v>
      </c>
      <c r="L477" s="46" t="s">
        <v>22</v>
      </c>
      <c r="M477" s="46" t="s">
        <v>18</v>
      </c>
      <c r="N477" s="46" t="s">
        <v>18</v>
      </c>
      <c r="O477" s="46" t="s">
        <v>18</v>
      </c>
      <c r="P477" s="46" t="s">
        <v>18</v>
      </c>
      <c r="Q477" s="46" t="s">
        <v>18</v>
      </c>
      <c r="R477" s="99" t="s">
        <v>55</v>
      </c>
      <c r="S477" s="140" t="s">
        <v>0</v>
      </c>
      <c r="T477" s="139">
        <f>T481++T498+T501+T522</f>
        <v>7230.2999999999993</v>
      </c>
      <c r="U477" s="139">
        <f>U481++U498+U501+U522+U534+U532+U536+U496</f>
        <v>12898</v>
      </c>
      <c r="V477" s="139">
        <f>V481++V498+V501+V522</f>
        <v>3228.7</v>
      </c>
      <c r="W477" s="139">
        <f>W481++W498+W501+W522</f>
        <v>3490.5999999999995</v>
      </c>
      <c r="X477" s="139">
        <f>X481++X498+X501+X522</f>
        <v>3817.2</v>
      </c>
      <c r="Y477" s="139">
        <f>Y481++Y498+Y501+Y522</f>
        <v>4311.8</v>
      </c>
      <c r="Z477" s="139">
        <f>Z481++Z498+Z501+Z522</f>
        <v>4484</v>
      </c>
      <c r="AA477" s="139">
        <f t="shared" si="106"/>
        <v>39460.6</v>
      </c>
      <c r="AB477" s="140">
        <v>2024</v>
      </c>
      <c r="AC477" s="119"/>
    </row>
    <row r="478" spans="1:31" ht="31.5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48" t="s">
        <v>134</v>
      </c>
      <c r="S478" s="152" t="s">
        <v>31</v>
      </c>
      <c r="T478" s="4">
        <f t="shared" ref="T478:Y478" si="114">T482</f>
        <v>10473.4</v>
      </c>
      <c r="U478" s="4">
        <f t="shared" si="114"/>
        <v>4682.5</v>
      </c>
      <c r="V478" s="4">
        <f t="shared" si="114"/>
        <v>4156.2</v>
      </c>
      <c r="W478" s="4">
        <f t="shared" si="114"/>
        <v>5575.6</v>
      </c>
      <c r="X478" s="4">
        <f t="shared" si="114"/>
        <v>6840.3</v>
      </c>
      <c r="Y478" s="4">
        <f t="shared" si="114"/>
        <v>5799.6</v>
      </c>
      <c r="Z478" s="4">
        <f t="shared" ref="Z478" si="115">Z482</f>
        <v>5799.6</v>
      </c>
      <c r="AA478" s="5">
        <f t="shared" si="106"/>
        <v>43327.199999999997</v>
      </c>
      <c r="AB478" s="152">
        <v>2024</v>
      </c>
      <c r="AC478" s="33"/>
    </row>
    <row r="479" spans="1:31" ht="31.5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48" t="s">
        <v>135</v>
      </c>
      <c r="S479" s="152" t="s">
        <v>50</v>
      </c>
      <c r="T479" s="44">
        <f t="shared" ref="T479:Y479" si="116">T502</f>
        <v>450</v>
      </c>
      <c r="U479" s="44">
        <f t="shared" si="116"/>
        <v>450</v>
      </c>
      <c r="V479" s="44">
        <f t="shared" si="116"/>
        <v>0</v>
      </c>
      <c r="W479" s="44">
        <f t="shared" si="116"/>
        <v>0</v>
      </c>
      <c r="X479" s="44">
        <f t="shared" si="116"/>
        <v>0</v>
      </c>
      <c r="Y479" s="44">
        <f t="shared" si="116"/>
        <v>0</v>
      </c>
      <c r="Z479" s="44">
        <f t="shared" ref="Z479" si="117">Z502</f>
        <v>0</v>
      </c>
      <c r="AA479" s="45">
        <f t="shared" ref="AA479:AA480" si="118">SUM(T479:Z479)</f>
        <v>900</v>
      </c>
      <c r="AB479" s="152">
        <v>2019</v>
      </c>
      <c r="AC479" s="33"/>
    </row>
    <row r="480" spans="1:31" ht="46.15" customHeight="1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48" t="s">
        <v>136</v>
      </c>
      <c r="S480" s="41" t="s">
        <v>38</v>
      </c>
      <c r="T480" s="44">
        <f t="shared" ref="T480:V480" si="119">T523</f>
        <v>27</v>
      </c>
      <c r="U480" s="44">
        <f t="shared" si="119"/>
        <v>4</v>
      </c>
      <c r="V480" s="44">
        <f t="shared" si="119"/>
        <v>16</v>
      </c>
      <c r="W480" s="44">
        <f>W483</f>
        <v>2</v>
      </c>
      <c r="X480" s="44">
        <f t="shared" ref="X480:Z480" si="120">X483</f>
        <v>14</v>
      </c>
      <c r="Y480" s="44">
        <f t="shared" si="120"/>
        <v>14</v>
      </c>
      <c r="Z480" s="44">
        <f t="shared" si="120"/>
        <v>14</v>
      </c>
      <c r="AA480" s="45">
        <f t="shared" si="118"/>
        <v>91</v>
      </c>
      <c r="AB480" s="41">
        <v>2024</v>
      </c>
      <c r="AC480" s="33"/>
    </row>
    <row r="481" spans="1:31" ht="40.5" customHeight="1" x14ac:dyDescent="0.25">
      <c r="A481" s="54"/>
      <c r="B481" s="54"/>
      <c r="C481" s="54"/>
      <c r="D481" s="54" t="s">
        <v>18</v>
      </c>
      <c r="E481" s="54" t="s">
        <v>21</v>
      </c>
      <c r="F481" s="54" t="s">
        <v>18</v>
      </c>
      <c r="G481" s="54" t="s">
        <v>22</v>
      </c>
      <c r="H481" s="54" t="s">
        <v>19</v>
      </c>
      <c r="I481" s="54" t="s">
        <v>24</v>
      </c>
      <c r="J481" s="54" t="s">
        <v>18</v>
      </c>
      <c r="K481" s="54" t="s">
        <v>18</v>
      </c>
      <c r="L481" s="54" t="s">
        <v>22</v>
      </c>
      <c r="M481" s="54" t="s">
        <v>43</v>
      </c>
      <c r="N481" s="54" t="s">
        <v>43</v>
      </c>
      <c r="O481" s="54" t="s">
        <v>43</v>
      </c>
      <c r="P481" s="54" t="s">
        <v>43</v>
      </c>
      <c r="Q481" s="54" t="s">
        <v>43</v>
      </c>
      <c r="R481" s="77" t="s">
        <v>137</v>
      </c>
      <c r="S481" s="58" t="s">
        <v>0</v>
      </c>
      <c r="T481" s="59">
        <f>T484+T490+T487+T493</f>
        <v>5760.9</v>
      </c>
      <c r="U481" s="59">
        <f t="shared" ref="U481:Y481" si="121">U484+U490+U487+U493</f>
        <v>5337.7</v>
      </c>
      <c r="V481" s="59">
        <f>V484+V490+V487+V493</f>
        <v>3171</v>
      </c>
      <c r="W481" s="59">
        <f t="shared" si="121"/>
        <v>3490.5999999999995</v>
      </c>
      <c r="X481" s="59">
        <f t="shared" si="121"/>
        <v>3817.2</v>
      </c>
      <c r="Y481" s="59">
        <f t="shared" si="121"/>
        <v>4311.8</v>
      </c>
      <c r="Z481" s="59">
        <f t="shared" ref="Z481" si="122">Z484+Z490+Z487+Z493</f>
        <v>4484</v>
      </c>
      <c r="AA481" s="59">
        <f t="shared" ref="AA481:AA499" si="123">SUM(T481:Z481)</f>
        <v>30373.199999999997</v>
      </c>
      <c r="AB481" s="58">
        <v>2024</v>
      </c>
      <c r="AC481" s="119"/>
    </row>
    <row r="482" spans="1:31" ht="31.5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5" t="s">
        <v>134</v>
      </c>
      <c r="S482" s="152" t="s">
        <v>31</v>
      </c>
      <c r="T482" s="3">
        <f>T485+T488+T491+T494</f>
        <v>10473.4</v>
      </c>
      <c r="U482" s="3">
        <f t="shared" ref="U482:Y482" si="124">U485+U488+U491+U494</f>
        <v>4682.5</v>
      </c>
      <c r="V482" s="3">
        <f t="shared" si="124"/>
        <v>4156.2</v>
      </c>
      <c r="W482" s="3">
        <f t="shared" si="124"/>
        <v>5575.6</v>
      </c>
      <c r="X482" s="3">
        <f>X485+X488+X491+X494</f>
        <v>6840.3</v>
      </c>
      <c r="Y482" s="3">
        <f t="shared" si="124"/>
        <v>5799.6</v>
      </c>
      <c r="Z482" s="3">
        <f t="shared" ref="Z482:Z483" si="125">Z485+Z488+Z491+Z494</f>
        <v>5799.6</v>
      </c>
      <c r="AA482" s="5">
        <f t="shared" si="123"/>
        <v>43327.199999999997</v>
      </c>
      <c r="AB482" s="41">
        <v>2024</v>
      </c>
      <c r="AC482" s="122"/>
      <c r="AD482" s="101"/>
    </row>
    <row r="483" spans="1:31" ht="47.25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5" t="s">
        <v>311</v>
      </c>
      <c r="S483" s="152" t="s">
        <v>38</v>
      </c>
      <c r="T483" s="44">
        <f>T486+T489+T492+T495</f>
        <v>0</v>
      </c>
      <c r="U483" s="44">
        <f t="shared" ref="U483:Y483" si="126">U486+U489+U492+U495</f>
        <v>0</v>
      </c>
      <c r="V483" s="44">
        <f t="shared" si="126"/>
        <v>0</v>
      </c>
      <c r="W483" s="44">
        <f t="shared" si="126"/>
        <v>2</v>
      </c>
      <c r="X483" s="44">
        <f t="shared" si="126"/>
        <v>14</v>
      </c>
      <c r="Y483" s="44">
        <f t="shared" si="126"/>
        <v>14</v>
      </c>
      <c r="Z483" s="44">
        <f t="shared" si="125"/>
        <v>14</v>
      </c>
      <c r="AA483" s="45">
        <f t="shared" si="123"/>
        <v>44</v>
      </c>
      <c r="AB483" s="41">
        <v>2024</v>
      </c>
      <c r="AC483" s="122"/>
      <c r="AD483" s="101"/>
    </row>
    <row r="484" spans="1:31" ht="31.5" x14ac:dyDescent="0.25">
      <c r="A484" s="54" t="s">
        <v>18</v>
      </c>
      <c r="B484" s="54" t="s">
        <v>18</v>
      </c>
      <c r="C484" s="54" t="s">
        <v>22</v>
      </c>
      <c r="D484" s="54" t="s">
        <v>18</v>
      </c>
      <c r="E484" s="54" t="s">
        <v>21</v>
      </c>
      <c r="F484" s="54" t="s">
        <v>18</v>
      </c>
      <c r="G484" s="54" t="s">
        <v>22</v>
      </c>
      <c r="H484" s="54" t="s">
        <v>19</v>
      </c>
      <c r="I484" s="54" t="s">
        <v>24</v>
      </c>
      <c r="J484" s="54" t="s">
        <v>18</v>
      </c>
      <c r="K484" s="54" t="s">
        <v>18</v>
      </c>
      <c r="L484" s="54" t="s">
        <v>22</v>
      </c>
      <c r="M484" s="54" t="s">
        <v>43</v>
      </c>
      <c r="N484" s="54" t="s">
        <v>43</v>
      </c>
      <c r="O484" s="54" t="s">
        <v>43</v>
      </c>
      <c r="P484" s="54" t="s">
        <v>43</v>
      </c>
      <c r="Q484" s="54" t="s">
        <v>43</v>
      </c>
      <c r="R484" s="77" t="s">
        <v>138</v>
      </c>
      <c r="S484" s="55" t="s">
        <v>0</v>
      </c>
      <c r="T484" s="1">
        <f>3617.1-376.2-40-150</f>
        <v>3050.9</v>
      </c>
      <c r="U484" s="1">
        <f>2917.1-100</f>
        <v>2817.1</v>
      </c>
      <c r="V484" s="1">
        <v>1090.5999999999999</v>
      </c>
      <c r="W484" s="1">
        <f>2417.1-692.3-89.8</f>
        <v>1635</v>
      </c>
      <c r="X484" s="1">
        <f>2417.1-467.5</f>
        <v>1949.6</v>
      </c>
      <c r="Y484" s="1">
        <v>2417.1</v>
      </c>
      <c r="Z484" s="1">
        <v>2417.1</v>
      </c>
      <c r="AA484" s="59">
        <f t="shared" si="123"/>
        <v>15377.400000000001</v>
      </c>
      <c r="AB484" s="58">
        <v>2024</v>
      </c>
      <c r="AC484" s="118"/>
      <c r="AD484" s="101"/>
      <c r="AE484" s="101"/>
    </row>
    <row r="485" spans="1:31" ht="31.5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61" t="s">
        <v>312</v>
      </c>
      <c r="S485" s="152" t="s">
        <v>31</v>
      </c>
      <c r="T485" s="3">
        <v>4849</v>
      </c>
      <c r="U485" s="3">
        <f>4307-1114</f>
        <v>3193</v>
      </c>
      <c r="V485" s="3">
        <v>1569</v>
      </c>
      <c r="W485" s="3">
        <v>2700</v>
      </c>
      <c r="X485" s="3">
        <v>3455.3</v>
      </c>
      <c r="Y485" s="3">
        <v>3555.6</v>
      </c>
      <c r="Z485" s="3">
        <v>3555.6</v>
      </c>
      <c r="AA485" s="5">
        <f t="shared" si="123"/>
        <v>22877.499999999996</v>
      </c>
      <c r="AB485" s="41">
        <v>2024</v>
      </c>
      <c r="AC485" s="122"/>
      <c r="AD485" s="101"/>
    </row>
    <row r="486" spans="1:31" ht="48" customHeight="1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61" t="s">
        <v>313</v>
      </c>
      <c r="S486" s="152" t="s">
        <v>38</v>
      </c>
      <c r="T486" s="44">
        <v>0</v>
      </c>
      <c r="U486" s="44">
        <v>0</v>
      </c>
      <c r="V486" s="44">
        <v>0</v>
      </c>
      <c r="W486" s="44">
        <v>0</v>
      </c>
      <c r="X486" s="44">
        <v>4</v>
      </c>
      <c r="Y486" s="44">
        <v>4</v>
      </c>
      <c r="Z486" s="44">
        <v>4</v>
      </c>
      <c r="AA486" s="45">
        <f t="shared" si="123"/>
        <v>12</v>
      </c>
      <c r="AB486" s="41">
        <v>2024</v>
      </c>
      <c r="AC486" s="122"/>
      <c r="AD486" s="101"/>
    </row>
    <row r="487" spans="1:31" ht="31.5" x14ac:dyDescent="0.25">
      <c r="A487" s="54" t="s">
        <v>18</v>
      </c>
      <c r="B487" s="54" t="s">
        <v>18</v>
      </c>
      <c r="C487" s="54" t="s">
        <v>24</v>
      </c>
      <c r="D487" s="54" t="s">
        <v>18</v>
      </c>
      <c r="E487" s="54" t="s">
        <v>21</v>
      </c>
      <c r="F487" s="54" t="s">
        <v>18</v>
      </c>
      <c r="G487" s="54" t="s">
        <v>22</v>
      </c>
      <c r="H487" s="54" t="s">
        <v>19</v>
      </c>
      <c r="I487" s="54" t="s">
        <v>24</v>
      </c>
      <c r="J487" s="54" t="s">
        <v>18</v>
      </c>
      <c r="K487" s="54" t="s">
        <v>18</v>
      </c>
      <c r="L487" s="54" t="s">
        <v>22</v>
      </c>
      <c r="M487" s="54" t="s">
        <v>43</v>
      </c>
      <c r="N487" s="54" t="s">
        <v>43</v>
      </c>
      <c r="O487" s="54" t="s">
        <v>43</v>
      </c>
      <c r="P487" s="54" t="s">
        <v>43</v>
      </c>
      <c r="Q487" s="54" t="s">
        <v>43</v>
      </c>
      <c r="R487" s="77" t="s">
        <v>139</v>
      </c>
      <c r="S487" s="55" t="s">
        <v>0</v>
      </c>
      <c r="T487" s="1">
        <f>398.5-63.6-24.8</f>
        <v>310.09999999999997</v>
      </c>
      <c r="U487" s="1">
        <f>398.5-18.9</f>
        <v>379.6</v>
      </c>
      <c r="V487" s="1">
        <f>398.5-27.6</f>
        <v>370.9</v>
      </c>
      <c r="W487" s="1">
        <f>399.6-9.9</f>
        <v>389.70000000000005</v>
      </c>
      <c r="X487" s="1">
        <v>399.6</v>
      </c>
      <c r="Y487" s="1">
        <v>399.6</v>
      </c>
      <c r="Z487" s="1">
        <v>399.6</v>
      </c>
      <c r="AA487" s="59">
        <f t="shared" si="123"/>
        <v>2649.1</v>
      </c>
      <c r="AB487" s="58">
        <v>2024</v>
      </c>
      <c r="AC487" s="118"/>
      <c r="AD487" s="101"/>
    </row>
    <row r="488" spans="1:31" ht="31.5" x14ac:dyDescent="0.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61" t="s">
        <v>314</v>
      </c>
      <c r="S488" s="152" t="s">
        <v>31</v>
      </c>
      <c r="T488" s="4">
        <v>421.4</v>
      </c>
      <c r="U488" s="4">
        <v>195</v>
      </c>
      <c r="V488" s="4">
        <v>554</v>
      </c>
      <c r="W488" s="3">
        <v>447</v>
      </c>
      <c r="X488" s="3">
        <v>591</v>
      </c>
      <c r="Y488" s="3">
        <v>461</v>
      </c>
      <c r="Z488" s="3">
        <v>461</v>
      </c>
      <c r="AA488" s="6">
        <f t="shared" si="123"/>
        <v>3130.4</v>
      </c>
      <c r="AB488" s="41">
        <v>2024</v>
      </c>
      <c r="AC488" s="122"/>
      <c r="AD488" s="101"/>
    </row>
    <row r="489" spans="1:31" ht="47.25" x14ac:dyDescent="0.2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61" t="s">
        <v>315</v>
      </c>
      <c r="S489" s="152" t="s">
        <v>38</v>
      </c>
      <c r="T489" s="2">
        <v>0</v>
      </c>
      <c r="U489" s="2">
        <v>0</v>
      </c>
      <c r="V489" s="2">
        <v>0</v>
      </c>
      <c r="W489" s="44">
        <v>0</v>
      </c>
      <c r="X489" s="44">
        <v>2</v>
      </c>
      <c r="Y489" s="44">
        <v>2</v>
      </c>
      <c r="Z489" s="44">
        <v>2</v>
      </c>
      <c r="AA489" s="49">
        <f t="shared" ref="AA489" si="127">SUM(T489:Z489)</f>
        <v>6</v>
      </c>
      <c r="AB489" s="41">
        <v>2024</v>
      </c>
      <c r="AC489" s="122"/>
      <c r="AD489" s="101"/>
    </row>
    <row r="490" spans="1:31" ht="31.5" x14ac:dyDescent="0.25">
      <c r="A490" s="54" t="s">
        <v>18</v>
      </c>
      <c r="B490" s="54" t="s">
        <v>18</v>
      </c>
      <c r="C490" s="54" t="s">
        <v>21</v>
      </c>
      <c r="D490" s="54" t="s">
        <v>18</v>
      </c>
      <c r="E490" s="54" t="s">
        <v>21</v>
      </c>
      <c r="F490" s="54" t="s">
        <v>18</v>
      </c>
      <c r="G490" s="54" t="s">
        <v>22</v>
      </c>
      <c r="H490" s="54" t="s">
        <v>19</v>
      </c>
      <c r="I490" s="54" t="s">
        <v>24</v>
      </c>
      <c r="J490" s="54" t="s">
        <v>18</v>
      </c>
      <c r="K490" s="54" t="s">
        <v>18</v>
      </c>
      <c r="L490" s="54" t="s">
        <v>22</v>
      </c>
      <c r="M490" s="54" t="s">
        <v>43</v>
      </c>
      <c r="N490" s="54" t="s">
        <v>43</v>
      </c>
      <c r="O490" s="54" t="s">
        <v>43</v>
      </c>
      <c r="P490" s="54" t="s">
        <v>43</v>
      </c>
      <c r="Q490" s="54" t="s">
        <v>43</v>
      </c>
      <c r="R490" s="69" t="s">
        <v>140</v>
      </c>
      <c r="S490" s="55" t="s">
        <v>0</v>
      </c>
      <c r="T490" s="1">
        <f>1961.8-500-47.8</f>
        <v>1414</v>
      </c>
      <c r="U490" s="1">
        <f>1163-0.4</f>
        <v>1162.5999999999999</v>
      </c>
      <c r="V490" s="1">
        <f>1165.6-57.2</f>
        <v>1108.3999999999999</v>
      </c>
      <c r="W490" s="1">
        <f>1166.9-121.7</f>
        <v>1045.2</v>
      </c>
      <c r="X490" s="1">
        <f>1166.9-27.1</f>
        <v>1139.8000000000002</v>
      </c>
      <c r="Y490" s="1">
        <v>1166.9000000000001</v>
      </c>
      <c r="Z490" s="1">
        <v>1166.9000000000001</v>
      </c>
      <c r="AA490" s="59">
        <f t="shared" si="123"/>
        <v>8203.7999999999993</v>
      </c>
      <c r="AB490" s="58">
        <v>2024</v>
      </c>
      <c r="AC490" s="118"/>
      <c r="AD490" s="101"/>
    </row>
    <row r="491" spans="1:31" ht="31.5" x14ac:dyDescent="0.2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61" t="s">
        <v>323</v>
      </c>
      <c r="S491" s="152" t="s">
        <v>31</v>
      </c>
      <c r="T491" s="4">
        <v>3300</v>
      </c>
      <c r="U491" s="4">
        <v>1194.5</v>
      </c>
      <c r="V491" s="4">
        <v>1600</v>
      </c>
      <c r="W491" s="3">
        <v>1904.6</v>
      </c>
      <c r="X491" s="3">
        <v>2225</v>
      </c>
      <c r="Y491" s="3">
        <v>1500</v>
      </c>
      <c r="Z491" s="3">
        <v>1500</v>
      </c>
      <c r="AA491" s="5">
        <f t="shared" si="123"/>
        <v>13224.1</v>
      </c>
      <c r="AB491" s="41">
        <v>2024</v>
      </c>
      <c r="AC491" s="122"/>
      <c r="AD491" s="101"/>
    </row>
    <row r="492" spans="1:31" ht="47.2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61" t="s">
        <v>324</v>
      </c>
      <c r="S492" s="152" t="s">
        <v>38</v>
      </c>
      <c r="T492" s="2">
        <v>0</v>
      </c>
      <c r="U492" s="2">
        <v>0</v>
      </c>
      <c r="V492" s="2">
        <v>0</v>
      </c>
      <c r="W492" s="44">
        <v>1</v>
      </c>
      <c r="X492" s="44">
        <v>3</v>
      </c>
      <c r="Y492" s="44">
        <v>3</v>
      </c>
      <c r="Z492" s="44">
        <v>3</v>
      </c>
      <c r="AA492" s="45">
        <f t="shared" ref="AA492" si="128">SUM(T492:Z492)</f>
        <v>10</v>
      </c>
      <c r="AB492" s="41">
        <v>2024</v>
      </c>
      <c r="AC492" s="138"/>
      <c r="AD492" s="101"/>
    </row>
    <row r="493" spans="1:31" ht="31.5" x14ac:dyDescent="0.25">
      <c r="A493" s="54" t="s">
        <v>18</v>
      </c>
      <c r="B493" s="54" t="s">
        <v>18</v>
      </c>
      <c r="C493" s="54" t="s">
        <v>25</v>
      </c>
      <c r="D493" s="54" t="s">
        <v>18</v>
      </c>
      <c r="E493" s="54" t="s">
        <v>21</v>
      </c>
      <c r="F493" s="54" t="s">
        <v>18</v>
      </c>
      <c r="G493" s="54" t="s">
        <v>22</v>
      </c>
      <c r="H493" s="54" t="s">
        <v>19</v>
      </c>
      <c r="I493" s="54" t="s">
        <v>24</v>
      </c>
      <c r="J493" s="54" t="s">
        <v>18</v>
      </c>
      <c r="K493" s="54" t="s">
        <v>18</v>
      </c>
      <c r="L493" s="54" t="s">
        <v>22</v>
      </c>
      <c r="M493" s="54" t="s">
        <v>43</v>
      </c>
      <c r="N493" s="54" t="s">
        <v>43</v>
      </c>
      <c r="O493" s="54" t="s">
        <v>43</v>
      </c>
      <c r="P493" s="54" t="s">
        <v>43</v>
      </c>
      <c r="Q493" s="54" t="s">
        <v>43</v>
      </c>
      <c r="R493" s="69" t="s">
        <v>141</v>
      </c>
      <c r="S493" s="55" t="s">
        <v>0</v>
      </c>
      <c r="T493" s="1">
        <f>1502-455.3-60.8</f>
        <v>985.90000000000009</v>
      </c>
      <c r="U493" s="1">
        <f>1000-21.6</f>
        <v>978.4</v>
      </c>
      <c r="V493" s="1">
        <f>700-98.9</f>
        <v>601.1</v>
      </c>
      <c r="W493" s="1">
        <f>500.4-79.7</f>
        <v>420.7</v>
      </c>
      <c r="X493" s="1">
        <v>328.2</v>
      </c>
      <c r="Y493" s="1">
        <v>328.2</v>
      </c>
      <c r="Z493" s="1">
        <v>500.4</v>
      </c>
      <c r="AA493" s="59">
        <f t="shared" si="123"/>
        <v>4142.8999999999996</v>
      </c>
      <c r="AB493" s="58">
        <v>2024</v>
      </c>
      <c r="AC493" s="119"/>
      <c r="AD493" s="12"/>
    </row>
    <row r="494" spans="1:31" ht="31.5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40" t="s">
        <v>325</v>
      </c>
      <c r="S494" s="152" t="s">
        <v>31</v>
      </c>
      <c r="T494" s="3">
        <v>1903</v>
      </c>
      <c r="U494" s="3">
        <v>100</v>
      </c>
      <c r="V494" s="3">
        <v>433.2</v>
      </c>
      <c r="W494" s="3">
        <v>524</v>
      </c>
      <c r="X494" s="3">
        <v>569</v>
      </c>
      <c r="Y494" s="3">
        <v>283</v>
      </c>
      <c r="Z494" s="3">
        <v>283</v>
      </c>
      <c r="AA494" s="5">
        <f t="shared" si="123"/>
        <v>4095.2</v>
      </c>
      <c r="AB494" s="41">
        <v>2024</v>
      </c>
      <c r="AC494" s="122"/>
      <c r="AD494" s="101"/>
    </row>
    <row r="495" spans="1:31" ht="47.25" customHeight="1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61" t="s">
        <v>326</v>
      </c>
      <c r="S495" s="152" t="s">
        <v>38</v>
      </c>
      <c r="T495" s="44">
        <v>0</v>
      </c>
      <c r="U495" s="44">
        <v>0</v>
      </c>
      <c r="V495" s="44">
        <v>0</v>
      </c>
      <c r="W495" s="44">
        <v>1</v>
      </c>
      <c r="X495" s="44">
        <v>5</v>
      </c>
      <c r="Y495" s="44">
        <v>5</v>
      </c>
      <c r="Z495" s="44">
        <v>5</v>
      </c>
      <c r="AA495" s="45">
        <f t="shared" ref="AA495" si="129">SUM(T495:Z495)</f>
        <v>16</v>
      </c>
      <c r="AB495" s="41">
        <v>2024</v>
      </c>
      <c r="AC495" s="138"/>
      <c r="AD495" s="101"/>
    </row>
    <row r="496" spans="1:31" ht="30.75" customHeight="1" x14ac:dyDescent="0.25">
      <c r="A496" s="54" t="s">
        <v>18</v>
      </c>
      <c r="B496" s="54" t="s">
        <v>19</v>
      </c>
      <c r="C496" s="54" t="s">
        <v>20</v>
      </c>
      <c r="D496" s="54" t="s">
        <v>18</v>
      </c>
      <c r="E496" s="54" t="s">
        <v>24</v>
      </c>
      <c r="F496" s="54" t="s">
        <v>18</v>
      </c>
      <c r="G496" s="54" t="s">
        <v>21</v>
      </c>
      <c r="H496" s="54" t="s">
        <v>19</v>
      </c>
      <c r="I496" s="54" t="s">
        <v>24</v>
      </c>
      <c r="J496" s="54" t="s">
        <v>18</v>
      </c>
      <c r="K496" s="54" t="s">
        <v>18</v>
      </c>
      <c r="L496" s="54" t="s">
        <v>22</v>
      </c>
      <c r="M496" s="54" t="s">
        <v>43</v>
      </c>
      <c r="N496" s="54" t="s">
        <v>43</v>
      </c>
      <c r="O496" s="54" t="s">
        <v>43</v>
      </c>
      <c r="P496" s="54" t="s">
        <v>43</v>
      </c>
      <c r="Q496" s="54" t="s">
        <v>43</v>
      </c>
      <c r="R496" s="69" t="s">
        <v>345</v>
      </c>
      <c r="S496" s="58" t="s">
        <v>0</v>
      </c>
      <c r="T496" s="59">
        <v>0</v>
      </c>
      <c r="U496" s="59">
        <v>6000</v>
      </c>
      <c r="V496" s="59">
        <v>0</v>
      </c>
      <c r="W496" s="59">
        <v>0</v>
      </c>
      <c r="X496" s="59">
        <v>0</v>
      </c>
      <c r="Y496" s="59">
        <v>0</v>
      </c>
      <c r="Z496" s="59">
        <v>0</v>
      </c>
      <c r="AA496" s="59">
        <f>T496+U496+V496+W496+X496+Y496</f>
        <v>6000</v>
      </c>
      <c r="AB496" s="58">
        <v>2019</v>
      </c>
      <c r="AC496" s="33"/>
    </row>
    <row r="497" spans="1:34" s="72" customFormat="1" ht="47.25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40" t="s">
        <v>289</v>
      </c>
      <c r="S497" s="41" t="s">
        <v>38</v>
      </c>
      <c r="T497" s="41">
        <v>0</v>
      </c>
      <c r="U497" s="41">
        <v>1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  <c r="AA497" s="49">
        <f>U497</f>
        <v>1</v>
      </c>
      <c r="AB497" s="41">
        <v>2019</v>
      </c>
      <c r="AC497" s="110"/>
    </row>
    <row r="498" spans="1:34" s="144" customFormat="1" ht="46.9" hidden="1" customHeight="1" x14ac:dyDescent="0.25">
      <c r="A498" s="21" t="s">
        <v>18</v>
      </c>
      <c r="B498" s="21" t="s">
        <v>24</v>
      </c>
      <c r="C498" s="21" t="s">
        <v>22</v>
      </c>
      <c r="D498" s="21" t="s">
        <v>18</v>
      </c>
      <c r="E498" s="21" t="s">
        <v>21</v>
      </c>
      <c r="F498" s="21" t="s">
        <v>18</v>
      </c>
      <c r="G498" s="21" t="s">
        <v>22</v>
      </c>
      <c r="H498" s="21" t="s">
        <v>19</v>
      </c>
      <c r="I498" s="21" t="s">
        <v>24</v>
      </c>
      <c r="J498" s="21" t="s">
        <v>18</v>
      </c>
      <c r="K498" s="21" t="s">
        <v>18</v>
      </c>
      <c r="L498" s="21" t="s">
        <v>22</v>
      </c>
      <c r="M498" s="21" t="s">
        <v>43</v>
      </c>
      <c r="N498" s="21" t="s">
        <v>43</v>
      </c>
      <c r="O498" s="21" t="s">
        <v>43</v>
      </c>
      <c r="P498" s="21" t="s">
        <v>43</v>
      </c>
      <c r="Q498" s="21" t="s">
        <v>43</v>
      </c>
      <c r="R498" s="142" t="s">
        <v>328</v>
      </c>
      <c r="S498" s="65" t="s">
        <v>0</v>
      </c>
      <c r="T498" s="143">
        <v>0</v>
      </c>
      <c r="U498" s="143">
        <v>0</v>
      </c>
      <c r="V498" s="143">
        <v>0</v>
      </c>
      <c r="W498" s="143">
        <v>0</v>
      </c>
      <c r="X498" s="143">
        <v>0</v>
      </c>
      <c r="Y498" s="143">
        <v>0</v>
      </c>
      <c r="Z498" s="143">
        <v>0</v>
      </c>
      <c r="AA498" s="24">
        <f t="shared" si="123"/>
        <v>0</v>
      </c>
      <c r="AB498" s="23">
        <v>2024</v>
      </c>
      <c r="AC498" s="33"/>
    </row>
    <row r="499" spans="1:34" s="144" customFormat="1" ht="31.15" hidden="1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145" t="s">
        <v>329</v>
      </c>
      <c r="S499" s="65" t="s">
        <v>31</v>
      </c>
      <c r="T499" s="143">
        <v>0</v>
      </c>
      <c r="U499" s="143">
        <v>0</v>
      </c>
      <c r="V499" s="143">
        <v>0</v>
      </c>
      <c r="W499" s="143">
        <v>0</v>
      </c>
      <c r="X499" s="143">
        <v>0</v>
      </c>
      <c r="Y499" s="143">
        <v>0</v>
      </c>
      <c r="Z499" s="143">
        <v>0</v>
      </c>
      <c r="AA499" s="24">
        <f t="shared" si="123"/>
        <v>0</v>
      </c>
      <c r="AB499" s="65">
        <v>2024</v>
      </c>
      <c r="AC499" s="119"/>
      <c r="AD499" s="146"/>
      <c r="AE499" s="147"/>
      <c r="AF499" s="147"/>
      <c r="AG499" s="147"/>
      <c r="AH499" s="148"/>
    </row>
    <row r="500" spans="1:34" ht="0.75" hidden="1" customHeight="1" x14ac:dyDescent="0.25">
      <c r="A500" s="54"/>
      <c r="B500" s="54"/>
      <c r="C500" s="54"/>
      <c r="D500" s="54" t="s">
        <v>18</v>
      </c>
      <c r="E500" s="54" t="s">
        <v>21</v>
      </c>
      <c r="F500" s="54" t="s">
        <v>18</v>
      </c>
      <c r="G500" s="54" t="s">
        <v>22</v>
      </c>
      <c r="H500" s="54" t="s">
        <v>18</v>
      </c>
      <c r="I500" s="54" t="s">
        <v>23</v>
      </c>
      <c r="J500" s="54" t="s">
        <v>18</v>
      </c>
      <c r="K500" s="54" t="s">
        <v>18</v>
      </c>
      <c r="L500" s="54" t="s">
        <v>20</v>
      </c>
      <c r="M500" s="54" t="s">
        <v>19</v>
      </c>
      <c r="N500" s="54" t="s">
        <v>18</v>
      </c>
      <c r="O500" s="54" t="s">
        <v>21</v>
      </c>
      <c r="P500" s="54" t="s">
        <v>21</v>
      </c>
      <c r="Q500" s="54" t="s">
        <v>18</v>
      </c>
      <c r="R500" s="164" t="s">
        <v>142</v>
      </c>
      <c r="S500" s="55" t="s">
        <v>0</v>
      </c>
      <c r="T500" s="1">
        <f t="shared" ref="T500:Y501" si="130">T503+T506+T509+T512</f>
        <v>1308.2000000000003</v>
      </c>
      <c r="U500" s="1">
        <f t="shared" si="130"/>
        <v>1308.2000000000003</v>
      </c>
      <c r="V500" s="1">
        <f t="shared" si="130"/>
        <v>1308.2000000000003</v>
      </c>
      <c r="W500" s="1">
        <f t="shared" si="130"/>
        <v>1308.2000000000003</v>
      </c>
      <c r="X500" s="1">
        <f t="shared" si="130"/>
        <v>1308.2000000000003</v>
      </c>
      <c r="Y500" s="1">
        <f t="shared" si="130"/>
        <v>1308.2000000000003</v>
      </c>
      <c r="Z500" s="1">
        <f t="shared" ref="Z500" si="131">Z503+Z506+Z509+Z512</f>
        <v>1308.2000000000003</v>
      </c>
      <c r="AA500" s="59">
        <f>T500+U500+V500+W500+X500+Y500</f>
        <v>7849.2000000000025</v>
      </c>
      <c r="AB500" s="73">
        <v>2016</v>
      </c>
      <c r="AC500" s="33"/>
      <c r="AD500" s="12"/>
      <c r="AE500" s="12"/>
    </row>
    <row r="501" spans="1:34" ht="31.15" customHeight="1" x14ac:dyDescent="0.25">
      <c r="A501" s="54"/>
      <c r="B501" s="54"/>
      <c r="C501" s="54"/>
      <c r="D501" s="54" t="s">
        <v>18</v>
      </c>
      <c r="E501" s="54" t="s">
        <v>24</v>
      </c>
      <c r="F501" s="54" t="s">
        <v>18</v>
      </c>
      <c r="G501" s="54" t="s">
        <v>21</v>
      </c>
      <c r="H501" s="54" t="s">
        <v>19</v>
      </c>
      <c r="I501" s="54" t="s">
        <v>24</v>
      </c>
      <c r="J501" s="54" t="s">
        <v>18</v>
      </c>
      <c r="K501" s="54" t="s">
        <v>18</v>
      </c>
      <c r="L501" s="54" t="s">
        <v>22</v>
      </c>
      <c r="M501" s="54" t="s">
        <v>19</v>
      </c>
      <c r="N501" s="54" t="s">
        <v>18</v>
      </c>
      <c r="O501" s="54" t="s">
        <v>21</v>
      </c>
      <c r="P501" s="54" t="s">
        <v>21</v>
      </c>
      <c r="Q501" s="54" t="s">
        <v>18</v>
      </c>
      <c r="R501" s="164"/>
      <c r="S501" s="58" t="s">
        <v>0</v>
      </c>
      <c r="T501" s="59">
        <f t="shared" si="130"/>
        <v>1399.4</v>
      </c>
      <c r="U501" s="59">
        <f>U504+U507+U510+U513+U517</f>
        <v>802.7</v>
      </c>
      <c r="V501" s="59">
        <f t="shared" si="130"/>
        <v>0</v>
      </c>
      <c r="W501" s="59">
        <f t="shared" si="130"/>
        <v>0</v>
      </c>
      <c r="X501" s="59">
        <f t="shared" si="130"/>
        <v>0</v>
      </c>
      <c r="Y501" s="59">
        <f t="shared" si="130"/>
        <v>0</v>
      </c>
      <c r="Z501" s="59">
        <f t="shared" ref="Z501" si="132">Z504+Z507+Z510+Z513</f>
        <v>0</v>
      </c>
      <c r="AA501" s="59">
        <f>SUM(T501:Z501)</f>
        <v>2202.1000000000004</v>
      </c>
      <c r="AB501" s="58">
        <v>2019</v>
      </c>
      <c r="AC501" s="119"/>
      <c r="AD501" s="12"/>
      <c r="AE501" s="12"/>
    </row>
    <row r="502" spans="1:34" ht="31.5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40" t="s">
        <v>143</v>
      </c>
      <c r="S502" s="152" t="s">
        <v>50</v>
      </c>
      <c r="T502" s="44">
        <f t="shared" ref="T502:Y502" si="133">T505+T508+T511+T516</f>
        <v>450</v>
      </c>
      <c r="U502" s="44">
        <f>U505+U508+U511+U516+U521</f>
        <v>450</v>
      </c>
      <c r="V502" s="44">
        <f t="shared" si="133"/>
        <v>0</v>
      </c>
      <c r="W502" s="44">
        <f t="shared" si="133"/>
        <v>0</v>
      </c>
      <c r="X502" s="44">
        <f t="shared" si="133"/>
        <v>0</v>
      </c>
      <c r="Y502" s="44">
        <f t="shared" si="133"/>
        <v>0</v>
      </c>
      <c r="Z502" s="44">
        <f t="shared" ref="Z502" si="134">Z505+Z508+Z511+Z516</f>
        <v>0</v>
      </c>
      <c r="AA502" s="49">
        <f>SUM(T502:Z502)</f>
        <v>900</v>
      </c>
      <c r="AB502" s="41">
        <v>2019</v>
      </c>
      <c r="AC502" s="33"/>
      <c r="AD502" s="12"/>
      <c r="AE502" s="12"/>
    </row>
    <row r="503" spans="1:34" ht="36.75" hidden="1" customHeight="1" x14ac:dyDescent="0.25">
      <c r="A503" s="54" t="s">
        <v>18</v>
      </c>
      <c r="B503" s="54" t="s">
        <v>18</v>
      </c>
      <c r="C503" s="54" t="s">
        <v>22</v>
      </c>
      <c r="D503" s="54" t="s">
        <v>18</v>
      </c>
      <c r="E503" s="54" t="s">
        <v>21</v>
      </c>
      <c r="F503" s="54" t="s">
        <v>18</v>
      </c>
      <c r="G503" s="54" t="s">
        <v>22</v>
      </c>
      <c r="H503" s="54" t="s">
        <v>18</v>
      </c>
      <c r="I503" s="54" t="s">
        <v>23</v>
      </c>
      <c r="J503" s="54" t="s">
        <v>18</v>
      </c>
      <c r="K503" s="54" t="s">
        <v>18</v>
      </c>
      <c r="L503" s="54" t="s">
        <v>20</v>
      </c>
      <c r="M503" s="54" t="s">
        <v>19</v>
      </c>
      <c r="N503" s="54" t="s">
        <v>18</v>
      </c>
      <c r="O503" s="54" t="s">
        <v>21</v>
      </c>
      <c r="P503" s="54" t="s">
        <v>21</v>
      </c>
      <c r="Q503" s="54" t="s">
        <v>18</v>
      </c>
      <c r="R503" s="178" t="s">
        <v>361</v>
      </c>
      <c r="S503" s="55" t="s">
        <v>0</v>
      </c>
      <c r="T503" s="1">
        <f t="shared" ref="T503:Z503" si="135">472.4-26.9</f>
        <v>445.5</v>
      </c>
      <c r="U503" s="1">
        <f t="shared" si="135"/>
        <v>445.5</v>
      </c>
      <c r="V503" s="1">
        <f t="shared" si="135"/>
        <v>445.5</v>
      </c>
      <c r="W503" s="1">
        <f t="shared" si="135"/>
        <v>445.5</v>
      </c>
      <c r="X503" s="1">
        <f t="shared" si="135"/>
        <v>445.5</v>
      </c>
      <c r="Y503" s="1">
        <f t="shared" si="135"/>
        <v>445.5</v>
      </c>
      <c r="Z503" s="1">
        <f t="shared" si="135"/>
        <v>445.5</v>
      </c>
      <c r="AA503" s="59">
        <f t="shared" ref="AA503:AA512" si="136">T503+U503+V503+W503+X503+Y503</f>
        <v>2673</v>
      </c>
      <c r="AB503" s="41">
        <v>2023</v>
      </c>
      <c r="AC503" s="33"/>
      <c r="AD503" s="12"/>
      <c r="AE503" s="12"/>
    </row>
    <row r="504" spans="1:34" ht="31.5" x14ac:dyDescent="0.25">
      <c r="A504" s="54" t="s">
        <v>18</v>
      </c>
      <c r="B504" s="54" t="s">
        <v>18</v>
      </c>
      <c r="C504" s="54" t="s">
        <v>22</v>
      </c>
      <c r="D504" s="54" t="s">
        <v>18</v>
      </c>
      <c r="E504" s="54" t="s">
        <v>24</v>
      </c>
      <c r="F504" s="54" t="s">
        <v>18</v>
      </c>
      <c r="G504" s="54" t="s">
        <v>21</v>
      </c>
      <c r="H504" s="54" t="s">
        <v>19</v>
      </c>
      <c r="I504" s="54" t="s">
        <v>24</v>
      </c>
      <c r="J504" s="54" t="s">
        <v>18</v>
      </c>
      <c r="K504" s="54" t="s">
        <v>18</v>
      </c>
      <c r="L504" s="54" t="s">
        <v>22</v>
      </c>
      <c r="M504" s="54" t="s">
        <v>19</v>
      </c>
      <c r="N504" s="54" t="s">
        <v>18</v>
      </c>
      <c r="O504" s="54" t="s">
        <v>21</v>
      </c>
      <c r="P504" s="54" t="s">
        <v>21</v>
      </c>
      <c r="Q504" s="54" t="s">
        <v>18</v>
      </c>
      <c r="R504" s="178"/>
      <c r="S504" s="55" t="s">
        <v>0</v>
      </c>
      <c r="T504" s="1">
        <f t="shared" ref="T504" si="137">445.5+45.8</f>
        <v>491.3</v>
      </c>
      <c r="U504" s="1">
        <f>445.5+45.8+47.5-415.7</f>
        <v>123.09999999999997</v>
      </c>
      <c r="V504" s="1">
        <f>445.5+45.8+53.6-544.9</f>
        <v>0</v>
      </c>
      <c r="W504" s="1">
        <f t="shared" ref="W504:X504" si="138">445.5+45.8+53.6-544.9</f>
        <v>0</v>
      </c>
      <c r="X504" s="1">
        <f t="shared" si="138"/>
        <v>0</v>
      </c>
      <c r="Y504" s="1">
        <v>0</v>
      </c>
      <c r="Z504" s="1">
        <v>0</v>
      </c>
      <c r="AA504" s="59">
        <f>SUM(T504:Z504)</f>
        <v>614.4</v>
      </c>
      <c r="AB504" s="58">
        <v>2019</v>
      </c>
      <c r="AC504" s="119"/>
    </row>
    <row r="505" spans="1:34" ht="32.25" customHeight="1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61" t="s">
        <v>145</v>
      </c>
      <c r="S505" s="152" t="s">
        <v>50</v>
      </c>
      <c r="T505" s="2">
        <v>158</v>
      </c>
      <c r="U505" s="44">
        <v>37</v>
      </c>
      <c r="V505" s="2">
        <f>154-154</f>
        <v>0</v>
      </c>
      <c r="W505" s="2">
        <v>0</v>
      </c>
      <c r="X505" s="2">
        <v>0</v>
      </c>
      <c r="Y505" s="2">
        <v>0</v>
      </c>
      <c r="Z505" s="2">
        <v>0</v>
      </c>
      <c r="AA505" s="49">
        <f>SUM(T505:Z505)</f>
        <v>195</v>
      </c>
      <c r="AB505" s="41">
        <v>2019</v>
      </c>
      <c r="AC505" s="33"/>
    </row>
    <row r="506" spans="1:34" ht="36" hidden="1" customHeight="1" x14ac:dyDescent="0.25">
      <c r="A506" s="54" t="s">
        <v>18</v>
      </c>
      <c r="B506" s="54" t="s">
        <v>18</v>
      </c>
      <c r="C506" s="54" t="s">
        <v>24</v>
      </c>
      <c r="D506" s="54" t="s">
        <v>18</v>
      </c>
      <c r="E506" s="54" t="s">
        <v>21</v>
      </c>
      <c r="F506" s="54" t="s">
        <v>18</v>
      </c>
      <c r="G506" s="54" t="s">
        <v>22</v>
      </c>
      <c r="H506" s="54" t="s">
        <v>18</v>
      </c>
      <c r="I506" s="54" t="s">
        <v>23</v>
      </c>
      <c r="J506" s="54" t="s">
        <v>18</v>
      </c>
      <c r="K506" s="54" t="s">
        <v>18</v>
      </c>
      <c r="L506" s="54" t="s">
        <v>20</v>
      </c>
      <c r="M506" s="54" t="s">
        <v>19</v>
      </c>
      <c r="N506" s="54" t="s">
        <v>18</v>
      </c>
      <c r="O506" s="54" t="s">
        <v>21</v>
      </c>
      <c r="P506" s="54" t="s">
        <v>21</v>
      </c>
      <c r="Q506" s="54" t="s">
        <v>18</v>
      </c>
      <c r="R506" s="172" t="s">
        <v>144</v>
      </c>
      <c r="S506" s="55" t="s">
        <v>0</v>
      </c>
      <c r="T506" s="1">
        <f t="shared" ref="T506:Z506" si="139">302-17.3</f>
        <v>284.7</v>
      </c>
      <c r="U506" s="1">
        <f t="shared" si="139"/>
        <v>284.7</v>
      </c>
      <c r="V506" s="1">
        <f t="shared" si="139"/>
        <v>284.7</v>
      </c>
      <c r="W506" s="1">
        <f t="shared" si="139"/>
        <v>284.7</v>
      </c>
      <c r="X506" s="1">
        <f t="shared" si="139"/>
        <v>284.7</v>
      </c>
      <c r="Y506" s="1">
        <f t="shared" si="139"/>
        <v>284.7</v>
      </c>
      <c r="Z506" s="1">
        <f t="shared" si="139"/>
        <v>284.7</v>
      </c>
      <c r="AA506" s="59">
        <f t="shared" si="136"/>
        <v>1708.2</v>
      </c>
      <c r="AB506" s="41">
        <v>2023</v>
      </c>
      <c r="AC506" s="33"/>
    </row>
    <row r="507" spans="1:34" ht="31.5" x14ac:dyDescent="0.25">
      <c r="A507" s="54" t="s">
        <v>18</v>
      </c>
      <c r="B507" s="54" t="s">
        <v>18</v>
      </c>
      <c r="C507" s="54" t="s">
        <v>24</v>
      </c>
      <c r="D507" s="54" t="s">
        <v>18</v>
      </c>
      <c r="E507" s="54" t="s">
        <v>24</v>
      </c>
      <c r="F507" s="54" t="s">
        <v>18</v>
      </c>
      <c r="G507" s="54" t="s">
        <v>21</v>
      </c>
      <c r="H507" s="54" t="s">
        <v>19</v>
      </c>
      <c r="I507" s="54" t="s">
        <v>24</v>
      </c>
      <c r="J507" s="54" t="s">
        <v>18</v>
      </c>
      <c r="K507" s="54" t="s">
        <v>18</v>
      </c>
      <c r="L507" s="54" t="s">
        <v>22</v>
      </c>
      <c r="M507" s="54" t="s">
        <v>19</v>
      </c>
      <c r="N507" s="54" t="s">
        <v>18</v>
      </c>
      <c r="O507" s="54" t="s">
        <v>21</v>
      </c>
      <c r="P507" s="54" t="s">
        <v>21</v>
      </c>
      <c r="Q507" s="54" t="s">
        <v>18</v>
      </c>
      <c r="R507" s="172"/>
      <c r="S507" s="55" t="s">
        <v>0</v>
      </c>
      <c r="T507" s="1">
        <f t="shared" ref="T507" si="140">284.7-29.7</f>
        <v>255</v>
      </c>
      <c r="U507" s="1">
        <f>284.7-29.7+24.6-218.9</f>
        <v>60.700000000000017</v>
      </c>
      <c r="V507" s="1">
        <f>284.7-29.7+27.8-282.8</f>
        <v>0</v>
      </c>
      <c r="W507" s="1">
        <v>0</v>
      </c>
      <c r="X507" s="1">
        <v>0</v>
      </c>
      <c r="Y507" s="1">
        <v>0</v>
      </c>
      <c r="Z507" s="1">
        <v>0</v>
      </c>
      <c r="AA507" s="59">
        <f>SUM(T507:Z507)</f>
        <v>315.70000000000005</v>
      </c>
      <c r="AB507" s="58">
        <v>2019</v>
      </c>
      <c r="AC507" s="119"/>
    </row>
    <row r="508" spans="1:34" ht="31.5" customHeight="1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61" t="s">
        <v>146</v>
      </c>
      <c r="S508" s="152" t="s">
        <v>50</v>
      </c>
      <c r="T508" s="2">
        <v>82</v>
      </c>
      <c r="U508" s="44">
        <v>20</v>
      </c>
      <c r="V508" s="2">
        <f>82-82</f>
        <v>0</v>
      </c>
      <c r="W508" s="2">
        <v>0</v>
      </c>
      <c r="X508" s="2">
        <v>0</v>
      </c>
      <c r="Y508" s="2">
        <v>0</v>
      </c>
      <c r="Z508" s="2">
        <v>0</v>
      </c>
      <c r="AA508" s="49">
        <f>SUM(T508:Z508)</f>
        <v>102</v>
      </c>
      <c r="AB508" s="41">
        <v>2019</v>
      </c>
      <c r="AC508" s="33"/>
    </row>
    <row r="509" spans="1:34" ht="5.25" hidden="1" customHeight="1" x14ac:dyDescent="0.25">
      <c r="A509" s="54" t="s">
        <v>18</v>
      </c>
      <c r="B509" s="54" t="s">
        <v>18</v>
      </c>
      <c r="C509" s="54" t="s">
        <v>21</v>
      </c>
      <c r="D509" s="54" t="s">
        <v>18</v>
      </c>
      <c r="E509" s="54" t="s">
        <v>21</v>
      </c>
      <c r="F509" s="54" t="s">
        <v>18</v>
      </c>
      <c r="G509" s="54" t="s">
        <v>22</v>
      </c>
      <c r="H509" s="54" t="s">
        <v>18</v>
      </c>
      <c r="I509" s="54" t="s">
        <v>23</v>
      </c>
      <c r="J509" s="54" t="s">
        <v>18</v>
      </c>
      <c r="K509" s="54" t="s">
        <v>18</v>
      </c>
      <c r="L509" s="54" t="s">
        <v>20</v>
      </c>
      <c r="M509" s="54" t="s">
        <v>19</v>
      </c>
      <c r="N509" s="54" t="s">
        <v>18</v>
      </c>
      <c r="O509" s="54" t="s">
        <v>21</v>
      </c>
      <c r="P509" s="54" t="s">
        <v>21</v>
      </c>
      <c r="Q509" s="54" t="s">
        <v>18</v>
      </c>
      <c r="R509" s="172" t="s">
        <v>144</v>
      </c>
      <c r="S509" s="55" t="s">
        <v>0</v>
      </c>
      <c r="T509" s="1">
        <f t="shared" ref="T509:Z509" si="141">398.8-22.7</f>
        <v>376.1</v>
      </c>
      <c r="U509" s="1">
        <f t="shared" si="141"/>
        <v>376.1</v>
      </c>
      <c r="V509" s="1">
        <f t="shared" si="141"/>
        <v>376.1</v>
      </c>
      <c r="W509" s="1">
        <f t="shared" si="141"/>
        <v>376.1</v>
      </c>
      <c r="X509" s="1">
        <f t="shared" si="141"/>
        <v>376.1</v>
      </c>
      <c r="Y509" s="1">
        <f t="shared" si="141"/>
        <v>376.1</v>
      </c>
      <c r="Z509" s="1">
        <f t="shared" si="141"/>
        <v>376.1</v>
      </c>
      <c r="AA509" s="59">
        <f t="shared" si="136"/>
        <v>2256.6</v>
      </c>
      <c r="AB509" s="41">
        <v>2023</v>
      </c>
      <c r="AC509" s="33"/>
    </row>
    <row r="510" spans="1:34" ht="31.5" x14ac:dyDescent="0.25">
      <c r="A510" s="54" t="s">
        <v>18</v>
      </c>
      <c r="B510" s="54" t="s">
        <v>18</v>
      </c>
      <c r="C510" s="54" t="s">
        <v>21</v>
      </c>
      <c r="D510" s="54" t="s">
        <v>18</v>
      </c>
      <c r="E510" s="54" t="s">
        <v>24</v>
      </c>
      <c r="F510" s="54" t="s">
        <v>18</v>
      </c>
      <c r="G510" s="54" t="s">
        <v>21</v>
      </c>
      <c r="H510" s="54" t="s">
        <v>19</v>
      </c>
      <c r="I510" s="54" t="s">
        <v>24</v>
      </c>
      <c r="J510" s="54" t="s">
        <v>18</v>
      </c>
      <c r="K510" s="54" t="s">
        <v>18</v>
      </c>
      <c r="L510" s="54" t="s">
        <v>22</v>
      </c>
      <c r="M510" s="54" t="s">
        <v>19</v>
      </c>
      <c r="N510" s="54" t="s">
        <v>18</v>
      </c>
      <c r="O510" s="54" t="s">
        <v>21</v>
      </c>
      <c r="P510" s="54" t="s">
        <v>21</v>
      </c>
      <c r="Q510" s="54" t="s">
        <v>18</v>
      </c>
      <c r="R510" s="172"/>
      <c r="S510" s="55" t="s">
        <v>0</v>
      </c>
      <c r="T510" s="1">
        <f t="shared" ref="T510" si="142">376.1+59.3</f>
        <v>435.40000000000003</v>
      </c>
      <c r="U510" s="1">
        <f>376.1+59.3+42-370.4</f>
        <v>107.00000000000006</v>
      </c>
      <c r="V510" s="1">
        <f>376.1+59.3+47.5-482.9</f>
        <v>0</v>
      </c>
      <c r="W510" s="1">
        <v>0</v>
      </c>
      <c r="X510" s="1">
        <v>0</v>
      </c>
      <c r="Y510" s="1">
        <v>0</v>
      </c>
      <c r="Z510" s="1">
        <v>0</v>
      </c>
      <c r="AA510" s="59">
        <f>SUM(T510:Z510)</f>
        <v>542.40000000000009</v>
      </c>
      <c r="AB510" s="58">
        <v>2019</v>
      </c>
      <c r="AC510" s="33"/>
    </row>
    <row r="511" spans="1:34" ht="30.75" customHeight="1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61" t="s">
        <v>147</v>
      </c>
      <c r="S511" s="152" t="s">
        <v>50</v>
      </c>
      <c r="T511" s="2">
        <v>140</v>
      </c>
      <c r="U511" s="44">
        <v>31</v>
      </c>
      <c r="V511" s="2">
        <f>141-141</f>
        <v>0</v>
      </c>
      <c r="W511" s="2">
        <v>0</v>
      </c>
      <c r="X511" s="2">
        <v>0</v>
      </c>
      <c r="Y511" s="2">
        <v>0</v>
      </c>
      <c r="Z511" s="2">
        <v>0</v>
      </c>
      <c r="AA511" s="49">
        <f>SUM(T511:Z511)</f>
        <v>171</v>
      </c>
      <c r="AB511" s="41">
        <v>2019</v>
      </c>
      <c r="AC511" s="33"/>
    </row>
    <row r="512" spans="1:34" ht="35.25" hidden="1" customHeight="1" x14ac:dyDescent="0.25">
      <c r="A512" s="54" t="s">
        <v>18</v>
      </c>
      <c r="B512" s="54" t="s">
        <v>18</v>
      </c>
      <c r="C512" s="54" t="s">
        <v>25</v>
      </c>
      <c r="D512" s="54" t="s">
        <v>18</v>
      </c>
      <c r="E512" s="54" t="s">
        <v>21</v>
      </c>
      <c r="F512" s="54" t="s">
        <v>18</v>
      </c>
      <c r="G512" s="54" t="s">
        <v>22</v>
      </c>
      <c r="H512" s="54" t="s">
        <v>18</v>
      </c>
      <c r="I512" s="54" t="s">
        <v>23</v>
      </c>
      <c r="J512" s="54" t="s">
        <v>18</v>
      </c>
      <c r="K512" s="54" t="s">
        <v>18</v>
      </c>
      <c r="L512" s="54" t="s">
        <v>20</v>
      </c>
      <c r="M512" s="54" t="s">
        <v>19</v>
      </c>
      <c r="N512" s="54" t="s">
        <v>18</v>
      </c>
      <c r="O512" s="54" t="s">
        <v>21</v>
      </c>
      <c r="P512" s="54" t="s">
        <v>21</v>
      </c>
      <c r="Q512" s="54" t="s">
        <v>18</v>
      </c>
      <c r="R512" s="172" t="s">
        <v>144</v>
      </c>
      <c r="S512" s="55" t="s">
        <v>0</v>
      </c>
      <c r="T512" s="1">
        <f t="shared" ref="T512:Z512" si="143">214.1-12.2</f>
        <v>201.9</v>
      </c>
      <c r="U512" s="1">
        <f t="shared" si="143"/>
        <v>201.9</v>
      </c>
      <c r="V512" s="1">
        <f t="shared" si="143"/>
        <v>201.9</v>
      </c>
      <c r="W512" s="1">
        <f t="shared" si="143"/>
        <v>201.9</v>
      </c>
      <c r="X512" s="1">
        <f t="shared" si="143"/>
        <v>201.9</v>
      </c>
      <c r="Y512" s="1">
        <f t="shared" si="143"/>
        <v>201.9</v>
      </c>
      <c r="Z512" s="1">
        <f t="shared" si="143"/>
        <v>201.9</v>
      </c>
      <c r="AA512" s="59">
        <f t="shared" si="136"/>
        <v>1211.4000000000001</v>
      </c>
      <c r="AB512" s="41">
        <v>2023</v>
      </c>
    </row>
    <row r="513" spans="1:30" ht="32.25" customHeight="1" x14ac:dyDescent="0.25">
      <c r="A513" s="54" t="s">
        <v>18</v>
      </c>
      <c r="B513" s="54" t="s">
        <v>18</v>
      </c>
      <c r="C513" s="54" t="s">
        <v>25</v>
      </c>
      <c r="D513" s="54" t="s">
        <v>18</v>
      </c>
      <c r="E513" s="54" t="s">
        <v>24</v>
      </c>
      <c r="F513" s="54" t="s">
        <v>18</v>
      </c>
      <c r="G513" s="54" t="s">
        <v>21</v>
      </c>
      <c r="H513" s="54" t="s">
        <v>19</v>
      </c>
      <c r="I513" s="54" t="s">
        <v>24</v>
      </c>
      <c r="J513" s="54" t="s">
        <v>18</v>
      </c>
      <c r="K513" s="54" t="s">
        <v>18</v>
      </c>
      <c r="L513" s="54" t="s">
        <v>22</v>
      </c>
      <c r="M513" s="54" t="s">
        <v>19</v>
      </c>
      <c r="N513" s="54" t="s">
        <v>18</v>
      </c>
      <c r="O513" s="54" t="s">
        <v>21</v>
      </c>
      <c r="P513" s="54" t="s">
        <v>21</v>
      </c>
      <c r="Q513" s="54" t="s">
        <v>18</v>
      </c>
      <c r="R513" s="172"/>
      <c r="S513" s="55" t="s">
        <v>0</v>
      </c>
      <c r="T513" s="1">
        <f>201.9+15.8</f>
        <v>217.70000000000002</v>
      </c>
      <c r="U513" s="1">
        <f>201.9+15.8+1.7+19.3-186.2</f>
        <v>52.500000000000028</v>
      </c>
      <c r="V513" s="1">
        <f>201.9+15.8+1.7+22.1-241.5</f>
        <v>0</v>
      </c>
      <c r="W513" s="1">
        <v>0</v>
      </c>
      <c r="X513" s="1">
        <v>0</v>
      </c>
      <c r="Y513" s="1">
        <v>0</v>
      </c>
      <c r="Z513" s="1">
        <v>0</v>
      </c>
      <c r="AA513" s="59">
        <f>SUM(T513:Z513)</f>
        <v>270.20000000000005</v>
      </c>
      <c r="AB513" s="58">
        <v>2019</v>
      </c>
      <c r="AC513" s="33"/>
    </row>
    <row r="514" spans="1:30" ht="49.5" hidden="1" customHeight="1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40" t="s">
        <v>148</v>
      </c>
      <c r="S514" s="41" t="s">
        <v>8</v>
      </c>
      <c r="T514" s="2">
        <v>56</v>
      </c>
      <c r="U514" s="2">
        <v>56</v>
      </c>
      <c r="V514" s="2">
        <v>56</v>
      </c>
      <c r="W514" s="2">
        <v>56</v>
      </c>
      <c r="X514" s="2">
        <v>56</v>
      </c>
      <c r="Y514" s="2">
        <v>56</v>
      </c>
      <c r="Z514" s="2">
        <v>56</v>
      </c>
      <c r="AA514" s="49">
        <f>T514+U514+V514+W514+X514+Y514+Z514</f>
        <v>392</v>
      </c>
      <c r="AB514" s="41">
        <v>2024</v>
      </c>
    </row>
    <row r="515" spans="1:30" ht="64.5" hidden="1" customHeight="1" x14ac:dyDescent="0.25">
      <c r="A515" s="54" t="s">
        <v>18</v>
      </c>
      <c r="B515" s="54" t="s">
        <v>19</v>
      </c>
      <c r="C515" s="54" t="s">
        <v>24</v>
      </c>
      <c r="D515" s="54" t="s">
        <v>18</v>
      </c>
      <c r="E515" s="54" t="s">
        <v>21</v>
      </c>
      <c r="F515" s="54" t="s">
        <v>18</v>
      </c>
      <c r="G515" s="54" t="s">
        <v>22</v>
      </c>
      <c r="H515" s="54" t="s">
        <v>18</v>
      </c>
      <c r="I515" s="54" t="s">
        <v>23</v>
      </c>
      <c r="J515" s="54" t="s">
        <v>18</v>
      </c>
      <c r="K515" s="54" t="s">
        <v>18</v>
      </c>
      <c r="L515" s="54" t="s">
        <v>22</v>
      </c>
      <c r="M515" s="54" t="s">
        <v>18</v>
      </c>
      <c r="N515" s="54" t="s">
        <v>22</v>
      </c>
      <c r="O515" s="54" t="s">
        <v>22</v>
      </c>
      <c r="P515" s="54" t="s">
        <v>18</v>
      </c>
      <c r="Q515" s="54" t="s">
        <v>22</v>
      </c>
      <c r="R515" s="68" t="s">
        <v>149</v>
      </c>
      <c r="S515" s="55" t="s">
        <v>0</v>
      </c>
      <c r="T515" s="1"/>
      <c r="U515" s="1"/>
      <c r="V515" s="1"/>
      <c r="W515" s="1"/>
      <c r="X515" s="1"/>
      <c r="Y515" s="1"/>
      <c r="Z515" s="1"/>
      <c r="AA515" s="59">
        <f>T515+U515+V515+W515+X515+Y515</f>
        <v>0</v>
      </c>
      <c r="AB515" s="152">
        <v>2020</v>
      </c>
    </row>
    <row r="516" spans="1:30" ht="31.5" x14ac:dyDescent="0.2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61" t="s">
        <v>148</v>
      </c>
      <c r="S516" s="152" t="s">
        <v>50</v>
      </c>
      <c r="T516" s="44">
        <v>70</v>
      </c>
      <c r="U516" s="44">
        <v>15</v>
      </c>
      <c r="V516" s="44">
        <f>68-68</f>
        <v>0</v>
      </c>
      <c r="W516" s="44">
        <v>0</v>
      </c>
      <c r="X516" s="44">
        <v>0</v>
      </c>
      <c r="Y516" s="44">
        <v>0</v>
      </c>
      <c r="Z516" s="44">
        <v>0</v>
      </c>
      <c r="AA516" s="45">
        <f t="shared" ref="AA516:AA521" si="144">SUM(T516:Z516)</f>
        <v>85</v>
      </c>
      <c r="AB516" s="41">
        <v>2019</v>
      </c>
      <c r="AC516" s="33"/>
    </row>
    <row r="517" spans="1:30" s="130" customFormat="1" ht="31.5" hidden="1" x14ac:dyDescent="0.25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164" t="s">
        <v>309</v>
      </c>
      <c r="S517" s="55" t="s">
        <v>0</v>
      </c>
      <c r="T517" s="1">
        <v>0</v>
      </c>
      <c r="U517" s="1">
        <f>U518+U519</f>
        <v>459.4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59">
        <f t="shared" si="144"/>
        <v>459.4</v>
      </c>
      <c r="AB517" s="55">
        <v>2019</v>
      </c>
      <c r="AC517" s="129"/>
    </row>
    <row r="518" spans="1:30" s="130" customFormat="1" ht="31.5" customHeight="1" x14ac:dyDescent="0.25">
      <c r="A518" s="54" t="s">
        <v>18</v>
      </c>
      <c r="B518" s="54" t="s">
        <v>19</v>
      </c>
      <c r="C518" s="54" t="s">
        <v>20</v>
      </c>
      <c r="D518" s="54" t="s">
        <v>18</v>
      </c>
      <c r="E518" s="54" t="s">
        <v>24</v>
      </c>
      <c r="F518" s="54" t="s">
        <v>18</v>
      </c>
      <c r="G518" s="54" t="s">
        <v>21</v>
      </c>
      <c r="H518" s="54" t="s">
        <v>19</v>
      </c>
      <c r="I518" s="54" t="s">
        <v>24</v>
      </c>
      <c r="J518" s="54" t="s">
        <v>18</v>
      </c>
      <c r="K518" s="54" t="s">
        <v>18</v>
      </c>
      <c r="L518" s="54" t="s">
        <v>22</v>
      </c>
      <c r="M518" s="54" t="s">
        <v>19</v>
      </c>
      <c r="N518" s="54" t="s">
        <v>18</v>
      </c>
      <c r="O518" s="54" t="s">
        <v>21</v>
      </c>
      <c r="P518" s="54" t="s">
        <v>21</v>
      </c>
      <c r="Q518" s="54" t="s">
        <v>18</v>
      </c>
      <c r="R518" s="164"/>
      <c r="S518" s="55" t="s">
        <v>0</v>
      </c>
      <c r="T518" s="1">
        <v>0</v>
      </c>
      <c r="U518" s="1">
        <v>459.4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59">
        <f t="shared" si="144"/>
        <v>459.4</v>
      </c>
      <c r="AB518" s="55">
        <v>2019</v>
      </c>
      <c r="AC518" s="129"/>
    </row>
    <row r="519" spans="1:30" s="130" customFormat="1" ht="31.5" hidden="1" x14ac:dyDescent="0.25">
      <c r="A519" s="54" t="s">
        <v>18</v>
      </c>
      <c r="B519" s="54" t="s">
        <v>19</v>
      </c>
      <c r="C519" s="54" t="s">
        <v>20</v>
      </c>
      <c r="D519" s="54" t="s">
        <v>18</v>
      </c>
      <c r="E519" s="54" t="s">
        <v>24</v>
      </c>
      <c r="F519" s="54" t="s">
        <v>18</v>
      </c>
      <c r="G519" s="54" t="s">
        <v>21</v>
      </c>
      <c r="H519" s="54" t="s">
        <v>19</v>
      </c>
      <c r="I519" s="54" t="s">
        <v>24</v>
      </c>
      <c r="J519" s="54" t="s">
        <v>18</v>
      </c>
      <c r="K519" s="54" t="s">
        <v>18</v>
      </c>
      <c r="L519" s="54" t="s">
        <v>22</v>
      </c>
      <c r="M519" s="54" t="s">
        <v>18</v>
      </c>
      <c r="N519" s="54" t="s">
        <v>18</v>
      </c>
      <c r="O519" s="54" t="s">
        <v>18</v>
      </c>
      <c r="P519" s="54" t="s">
        <v>18</v>
      </c>
      <c r="Q519" s="54" t="s">
        <v>18</v>
      </c>
      <c r="R519" s="164"/>
      <c r="S519" s="55" t="s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59">
        <f t="shared" si="144"/>
        <v>0</v>
      </c>
      <c r="AB519" s="55">
        <v>2019</v>
      </c>
      <c r="AC519" s="129"/>
    </row>
    <row r="520" spans="1:30" s="72" customFormat="1" ht="47.25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 t="s">
        <v>291</v>
      </c>
      <c r="N520" s="39"/>
      <c r="O520" s="39"/>
      <c r="P520" s="39"/>
      <c r="Q520" s="39"/>
      <c r="R520" s="40" t="s">
        <v>290</v>
      </c>
      <c r="S520" s="41" t="s">
        <v>257</v>
      </c>
      <c r="T520" s="44">
        <v>0</v>
      </c>
      <c r="U520" s="44">
        <v>175</v>
      </c>
      <c r="V520" s="44">
        <v>0</v>
      </c>
      <c r="W520" s="44">
        <v>0</v>
      </c>
      <c r="X520" s="44">
        <v>0</v>
      </c>
      <c r="Y520" s="44">
        <v>0</v>
      </c>
      <c r="Z520" s="44">
        <v>0</v>
      </c>
      <c r="AA520" s="49">
        <f t="shared" si="144"/>
        <v>175</v>
      </c>
      <c r="AB520" s="41">
        <v>2019</v>
      </c>
      <c r="AC520" s="110"/>
    </row>
    <row r="521" spans="1:30" s="72" customFormat="1" ht="31.5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40" t="s">
        <v>272</v>
      </c>
      <c r="S521" s="41" t="s">
        <v>50</v>
      </c>
      <c r="T521" s="44">
        <v>0</v>
      </c>
      <c r="U521" s="44">
        <v>347</v>
      </c>
      <c r="V521" s="44">
        <v>0</v>
      </c>
      <c r="W521" s="44">
        <v>0</v>
      </c>
      <c r="X521" s="44">
        <v>0</v>
      </c>
      <c r="Y521" s="44">
        <v>0</v>
      </c>
      <c r="Z521" s="44">
        <v>0</v>
      </c>
      <c r="AA521" s="49">
        <f t="shared" si="144"/>
        <v>347</v>
      </c>
      <c r="AB521" s="41">
        <v>2019</v>
      </c>
      <c r="AC521" s="110"/>
    </row>
    <row r="522" spans="1:30" ht="47.25" customHeight="1" x14ac:dyDescent="0.25">
      <c r="A522" s="54"/>
      <c r="B522" s="54"/>
      <c r="C522" s="54"/>
      <c r="D522" s="54" t="s">
        <v>18</v>
      </c>
      <c r="E522" s="54" t="s">
        <v>21</v>
      </c>
      <c r="F522" s="54" t="s">
        <v>18</v>
      </c>
      <c r="G522" s="54" t="s">
        <v>22</v>
      </c>
      <c r="H522" s="54" t="s">
        <v>19</v>
      </c>
      <c r="I522" s="54" t="s">
        <v>24</v>
      </c>
      <c r="J522" s="54" t="s">
        <v>18</v>
      </c>
      <c r="K522" s="54" t="s">
        <v>18</v>
      </c>
      <c r="L522" s="54" t="s">
        <v>22</v>
      </c>
      <c r="M522" s="54" t="s">
        <v>43</v>
      </c>
      <c r="N522" s="54" t="s">
        <v>43</v>
      </c>
      <c r="O522" s="54" t="s">
        <v>43</v>
      </c>
      <c r="P522" s="54" t="s">
        <v>43</v>
      </c>
      <c r="Q522" s="54" t="s">
        <v>43</v>
      </c>
      <c r="R522" s="68" t="s">
        <v>150</v>
      </c>
      <c r="S522" s="58" t="s">
        <v>0</v>
      </c>
      <c r="T522" s="59">
        <f t="shared" ref="T522:Y523" si="145">T524+T526+T528+T530</f>
        <v>69.999999999999986</v>
      </c>
      <c r="U522" s="59">
        <f t="shared" si="145"/>
        <v>25.8</v>
      </c>
      <c r="V522" s="59">
        <f t="shared" si="145"/>
        <v>57.699999999999996</v>
      </c>
      <c r="W522" s="59">
        <f t="shared" si="145"/>
        <v>0</v>
      </c>
      <c r="X522" s="59">
        <f t="shared" si="145"/>
        <v>0</v>
      </c>
      <c r="Y522" s="59">
        <f t="shared" si="145"/>
        <v>0</v>
      </c>
      <c r="Z522" s="59">
        <f t="shared" ref="Z522" si="146">Z524+Z526+Z528+Z530</f>
        <v>0</v>
      </c>
      <c r="AA522" s="59">
        <f>AA524+AA526+AA528+AA530</f>
        <v>153.5</v>
      </c>
      <c r="AB522" s="58">
        <v>2020</v>
      </c>
      <c r="AC522" s="119"/>
    </row>
    <row r="523" spans="1:30" ht="45.7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61" t="s">
        <v>151</v>
      </c>
      <c r="S523" s="152" t="s">
        <v>38</v>
      </c>
      <c r="T523" s="44">
        <f t="shared" si="145"/>
        <v>27</v>
      </c>
      <c r="U523" s="44">
        <f t="shared" si="145"/>
        <v>4</v>
      </c>
      <c r="V523" s="44">
        <f t="shared" si="145"/>
        <v>16</v>
      </c>
      <c r="W523" s="44">
        <f t="shared" si="145"/>
        <v>0</v>
      </c>
      <c r="X523" s="44">
        <f t="shared" si="145"/>
        <v>0</v>
      </c>
      <c r="Y523" s="44">
        <f t="shared" si="145"/>
        <v>0</v>
      </c>
      <c r="Z523" s="44">
        <f>Z525+Z527+Z529+Z531</f>
        <v>0</v>
      </c>
      <c r="AA523" s="49">
        <f>T523+U523+V523+W523+X523+Y523+Z523</f>
        <v>47</v>
      </c>
      <c r="AB523" s="41">
        <v>2020</v>
      </c>
      <c r="AC523" s="33"/>
    </row>
    <row r="524" spans="1:30" ht="47.25" x14ac:dyDescent="0.25">
      <c r="A524" s="54" t="s">
        <v>18</v>
      </c>
      <c r="B524" s="54" t="s">
        <v>18</v>
      </c>
      <c r="C524" s="54" t="s">
        <v>22</v>
      </c>
      <c r="D524" s="54" t="s">
        <v>18</v>
      </c>
      <c r="E524" s="54" t="s">
        <v>21</v>
      </c>
      <c r="F524" s="54" t="s">
        <v>18</v>
      </c>
      <c r="G524" s="54" t="s">
        <v>22</v>
      </c>
      <c r="H524" s="54" t="s">
        <v>19</v>
      </c>
      <c r="I524" s="54" t="s">
        <v>24</v>
      </c>
      <c r="J524" s="54" t="s">
        <v>18</v>
      </c>
      <c r="K524" s="54" t="s">
        <v>18</v>
      </c>
      <c r="L524" s="54" t="s">
        <v>22</v>
      </c>
      <c r="M524" s="54" t="s">
        <v>43</v>
      </c>
      <c r="N524" s="54" t="s">
        <v>43</v>
      </c>
      <c r="O524" s="54" t="s">
        <v>43</v>
      </c>
      <c r="P524" s="54" t="s">
        <v>43</v>
      </c>
      <c r="Q524" s="54" t="s">
        <v>43</v>
      </c>
      <c r="R524" s="68" t="s">
        <v>152</v>
      </c>
      <c r="S524" s="55" t="s">
        <v>0</v>
      </c>
      <c r="T524" s="1">
        <f>18.2-1.8-10.9</f>
        <v>5.4999999999999982</v>
      </c>
      <c r="U524" s="1">
        <v>18.2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59">
        <f t="shared" ref="AA524:AA531" si="147">T524+U524+V524+W524+X524+Y524+Z524</f>
        <v>23.699999999999996</v>
      </c>
      <c r="AB524" s="58">
        <v>2019</v>
      </c>
      <c r="AC524" s="119"/>
    </row>
    <row r="525" spans="1:30" ht="47.25" customHeight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61" t="s">
        <v>153</v>
      </c>
      <c r="S525" s="152" t="s">
        <v>38</v>
      </c>
      <c r="T525" s="82">
        <v>2</v>
      </c>
      <c r="U525" s="82">
        <v>2</v>
      </c>
      <c r="V525" s="82">
        <v>0</v>
      </c>
      <c r="W525" s="82">
        <v>0</v>
      </c>
      <c r="X525" s="82">
        <v>0</v>
      </c>
      <c r="Y525" s="82">
        <v>0</v>
      </c>
      <c r="Z525" s="82">
        <v>0</v>
      </c>
      <c r="AA525" s="97">
        <f t="shared" si="147"/>
        <v>4</v>
      </c>
      <c r="AB525" s="41">
        <v>2019</v>
      </c>
      <c r="AC525" s="33"/>
    </row>
    <row r="526" spans="1:30" ht="47.25" x14ac:dyDescent="0.25">
      <c r="A526" s="54" t="s">
        <v>18</v>
      </c>
      <c r="B526" s="54" t="s">
        <v>18</v>
      </c>
      <c r="C526" s="54" t="s">
        <v>24</v>
      </c>
      <c r="D526" s="54" t="s">
        <v>18</v>
      </c>
      <c r="E526" s="54" t="s">
        <v>21</v>
      </c>
      <c r="F526" s="54" t="s">
        <v>18</v>
      </c>
      <c r="G526" s="54" t="s">
        <v>22</v>
      </c>
      <c r="H526" s="54" t="s">
        <v>19</v>
      </c>
      <c r="I526" s="54" t="s">
        <v>24</v>
      </c>
      <c r="J526" s="54" t="s">
        <v>18</v>
      </c>
      <c r="K526" s="54" t="s">
        <v>18</v>
      </c>
      <c r="L526" s="54" t="s">
        <v>22</v>
      </c>
      <c r="M526" s="54" t="s">
        <v>43</v>
      </c>
      <c r="N526" s="54" t="s">
        <v>43</v>
      </c>
      <c r="O526" s="54" t="s">
        <v>43</v>
      </c>
      <c r="P526" s="54" t="s">
        <v>43</v>
      </c>
      <c r="Q526" s="54" t="s">
        <v>43</v>
      </c>
      <c r="R526" s="68" t="s">
        <v>152</v>
      </c>
      <c r="S526" s="55" t="s">
        <v>0</v>
      </c>
      <c r="T526" s="1">
        <f>72.8-43.1</f>
        <v>29.699999999999996</v>
      </c>
      <c r="U526" s="1">
        <f>31.8-31.8</f>
        <v>0</v>
      </c>
      <c r="V526" s="1">
        <v>31.8</v>
      </c>
      <c r="W526" s="1">
        <v>0</v>
      </c>
      <c r="X526" s="1">
        <v>0</v>
      </c>
      <c r="Y526" s="1">
        <v>0</v>
      </c>
      <c r="Z526" s="1">
        <v>0</v>
      </c>
      <c r="AA526" s="59">
        <f t="shared" si="147"/>
        <v>61.5</v>
      </c>
      <c r="AB526" s="58">
        <v>2020</v>
      </c>
      <c r="AC526" s="119"/>
    </row>
    <row r="527" spans="1:30" ht="47.25" customHeight="1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61" t="s">
        <v>154</v>
      </c>
      <c r="S527" s="152" t="s">
        <v>38</v>
      </c>
      <c r="T527" s="82">
        <v>10</v>
      </c>
      <c r="U527" s="82">
        <v>0</v>
      </c>
      <c r="V527" s="82">
        <v>10</v>
      </c>
      <c r="W527" s="82">
        <v>0</v>
      </c>
      <c r="X527" s="82">
        <v>0</v>
      </c>
      <c r="Y527" s="82">
        <v>0</v>
      </c>
      <c r="Z527" s="82">
        <v>0</v>
      </c>
      <c r="AA527" s="97">
        <f t="shared" si="147"/>
        <v>20</v>
      </c>
      <c r="AB527" s="41">
        <v>2020</v>
      </c>
      <c r="AC527" s="33"/>
    </row>
    <row r="528" spans="1:30" ht="47.25" x14ac:dyDescent="0.25">
      <c r="A528" s="54" t="s">
        <v>18</v>
      </c>
      <c r="B528" s="54" t="s">
        <v>18</v>
      </c>
      <c r="C528" s="54" t="s">
        <v>21</v>
      </c>
      <c r="D528" s="54" t="s">
        <v>18</v>
      </c>
      <c r="E528" s="54" t="s">
        <v>21</v>
      </c>
      <c r="F528" s="54" t="s">
        <v>18</v>
      </c>
      <c r="G528" s="54" t="s">
        <v>22</v>
      </c>
      <c r="H528" s="54" t="s">
        <v>19</v>
      </c>
      <c r="I528" s="54" t="s">
        <v>24</v>
      </c>
      <c r="J528" s="54" t="s">
        <v>18</v>
      </c>
      <c r="K528" s="54" t="s">
        <v>18</v>
      </c>
      <c r="L528" s="54" t="s">
        <v>22</v>
      </c>
      <c r="M528" s="54" t="s">
        <v>43</v>
      </c>
      <c r="N528" s="54" t="s">
        <v>43</v>
      </c>
      <c r="O528" s="54" t="s">
        <v>43</v>
      </c>
      <c r="P528" s="54" t="s">
        <v>43</v>
      </c>
      <c r="Q528" s="54" t="s">
        <v>43</v>
      </c>
      <c r="R528" s="68" t="s">
        <v>155</v>
      </c>
      <c r="S528" s="55" t="s">
        <v>0</v>
      </c>
      <c r="T528" s="63">
        <f>36.4-4.4</f>
        <v>32</v>
      </c>
      <c r="U528" s="63">
        <f>34.6-34.6</f>
        <v>0</v>
      </c>
      <c r="V528" s="63">
        <f>31.8-22.8</f>
        <v>9</v>
      </c>
      <c r="W528" s="1">
        <v>0</v>
      </c>
      <c r="X528" s="1">
        <v>0</v>
      </c>
      <c r="Y528" s="1">
        <v>0</v>
      </c>
      <c r="Z528" s="1">
        <v>0</v>
      </c>
      <c r="AA528" s="59">
        <f t="shared" si="147"/>
        <v>41</v>
      </c>
      <c r="AB528" s="58">
        <v>2020</v>
      </c>
      <c r="AC528" s="118"/>
      <c r="AD528" s="101"/>
    </row>
    <row r="529" spans="1:33" ht="47.25" customHeight="1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61" t="s">
        <v>156</v>
      </c>
      <c r="S529" s="152" t="s">
        <v>38</v>
      </c>
      <c r="T529" s="82">
        <v>14</v>
      </c>
      <c r="U529" s="82">
        <v>0</v>
      </c>
      <c r="V529" s="82">
        <v>2</v>
      </c>
      <c r="W529" s="82">
        <v>0</v>
      </c>
      <c r="X529" s="82">
        <v>0</v>
      </c>
      <c r="Y529" s="82">
        <v>0</v>
      </c>
      <c r="Z529" s="82">
        <v>0</v>
      </c>
      <c r="AA529" s="98">
        <f t="shared" si="147"/>
        <v>16</v>
      </c>
      <c r="AB529" s="41">
        <v>2020</v>
      </c>
      <c r="AC529" s="33"/>
    </row>
    <row r="530" spans="1:33" ht="48" customHeight="1" x14ac:dyDescent="0.25">
      <c r="A530" s="54" t="s">
        <v>18</v>
      </c>
      <c r="B530" s="54" t="s">
        <v>18</v>
      </c>
      <c r="C530" s="54" t="s">
        <v>25</v>
      </c>
      <c r="D530" s="54" t="s">
        <v>18</v>
      </c>
      <c r="E530" s="54" t="s">
        <v>21</v>
      </c>
      <c r="F530" s="54" t="s">
        <v>18</v>
      </c>
      <c r="G530" s="54" t="s">
        <v>22</v>
      </c>
      <c r="H530" s="54" t="s">
        <v>19</v>
      </c>
      <c r="I530" s="54" t="s">
        <v>24</v>
      </c>
      <c r="J530" s="54" t="s">
        <v>18</v>
      </c>
      <c r="K530" s="54" t="s">
        <v>18</v>
      </c>
      <c r="L530" s="54" t="s">
        <v>22</v>
      </c>
      <c r="M530" s="54" t="s">
        <v>43</v>
      </c>
      <c r="N530" s="54" t="s">
        <v>43</v>
      </c>
      <c r="O530" s="54" t="s">
        <v>43</v>
      </c>
      <c r="P530" s="54" t="s">
        <v>43</v>
      </c>
      <c r="Q530" s="54" t="s">
        <v>43</v>
      </c>
      <c r="R530" s="68" t="s">
        <v>152</v>
      </c>
      <c r="S530" s="55" t="s">
        <v>0</v>
      </c>
      <c r="T530" s="1">
        <f>35-32.2</f>
        <v>2.7999999999999972</v>
      </c>
      <c r="U530" s="1">
        <f>35-27.4</f>
        <v>7.6000000000000014</v>
      </c>
      <c r="V530" s="1">
        <f>35-18.1</f>
        <v>16.899999999999999</v>
      </c>
      <c r="W530" s="1">
        <v>0</v>
      </c>
      <c r="X530" s="1">
        <v>0</v>
      </c>
      <c r="Y530" s="1">
        <v>0</v>
      </c>
      <c r="Z530" s="1">
        <v>0</v>
      </c>
      <c r="AA530" s="59">
        <f t="shared" si="147"/>
        <v>27.299999999999997</v>
      </c>
      <c r="AB530" s="58">
        <v>2020</v>
      </c>
      <c r="AC530" s="33"/>
    </row>
    <row r="531" spans="1:33" ht="47.25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61" t="s">
        <v>157</v>
      </c>
      <c r="S531" s="152" t="s">
        <v>38</v>
      </c>
      <c r="T531" s="41">
        <v>1</v>
      </c>
      <c r="U531" s="41">
        <v>2</v>
      </c>
      <c r="V531" s="41">
        <v>4</v>
      </c>
      <c r="W531" s="82">
        <v>0</v>
      </c>
      <c r="X531" s="82">
        <v>0</v>
      </c>
      <c r="Y531" s="82">
        <v>0</v>
      </c>
      <c r="Z531" s="82">
        <v>0</v>
      </c>
      <c r="AA531" s="49">
        <f t="shared" si="147"/>
        <v>7</v>
      </c>
      <c r="AB531" s="41">
        <v>2020</v>
      </c>
      <c r="AC531" s="33"/>
    </row>
    <row r="532" spans="1:33" ht="31.5" hidden="1" x14ac:dyDescent="0.25">
      <c r="A532" s="54" t="s">
        <v>18</v>
      </c>
      <c r="B532" s="54" t="s">
        <v>19</v>
      </c>
      <c r="C532" s="54" t="s">
        <v>20</v>
      </c>
      <c r="D532" s="54" t="s">
        <v>18</v>
      </c>
      <c r="E532" s="54" t="s">
        <v>24</v>
      </c>
      <c r="F532" s="54" t="s">
        <v>18</v>
      </c>
      <c r="G532" s="54" t="s">
        <v>21</v>
      </c>
      <c r="H532" s="54" t="s">
        <v>19</v>
      </c>
      <c r="I532" s="54" t="s">
        <v>24</v>
      </c>
      <c r="J532" s="54" t="s">
        <v>18</v>
      </c>
      <c r="K532" s="54" t="s">
        <v>18</v>
      </c>
      <c r="L532" s="54" t="s">
        <v>22</v>
      </c>
      <c r="M532" s="54" t="s">
        <v>18</v>
      </c>
      <c r="N532" s="54" t="s">
        <v>18</v>
      </c>
      <c r="O532" s="54" t="s">
        <v>18</v>
      </c>
      <c r="P532" s="54" t="s">
        <v>18</v>
      </c>
      <c r="Q532" s="54" t="s">
        <v>18</v>
      </c>
      <c r="R532" s="69" t="s">
        <v>273</v>
      </c>
      <c r="S532" s="58" t="s">
        <v>0</v>
      </c>
      <c r="T532" s="59">
        <v>0</v>
      </c>
      <c r="U532" s="59">
        <v>0</v>
      </c>
      <c r="V532" s="59">
        <v>0</v>
      </c>
      <c r="W532" s="1">
        <v>0</v>
      </c>
      <c r="X532" s="59">
        <v>0</v>
      </c>
      <c r="Y532" s="59">
        <v>0</v>
      </c>
      <c r="Z532" s="59">
        <v>0</v>
      </c>
      <c r="AA532" s="59">
        <f>T532+U532+V532+W532+X532+Y532</f>
        <v>0</v>
      </c>
      <c r="AB532" s="58">
        <v>2019</v>
      </c>
      <c r="AC532" s="33"/>
    </row>
    <row r="533" spans="1:33" ht="31.5" hidden="1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61" t="s">
        <v>165</v>
      </c>
      <c r="S533" s="152" t="s">
        <v>38</v>
      </c>
      <c r="T533" s="41">
        <v>0</v>
      </c>
      <c r="U533" s="41">
        <v>1</v>
      </c>
      <c r="V533" s="41">
        <v>0</v>
      </c>
      <c r="W533" s="82">
        <v>0</v>
      </c>
      <c r="X533" s="41">
        <v>0</v>
      </c>
      <c r="Y533" s="41">
        <v>0</v>
      </c>
      <c r="Z533" s="41">
        <v>0</v>
      </c>
      <c r="AA533" s="49">
        <v>1</v>
      </c>
      <c r="AB533" s="41">
        <v>2019</v>
      </c>
      <c r="AC533" s="33"/>
    </row>
    <row r="534" spans="1:33" ht="78.75" hidden="1" x14ac:dyDescent="0.25">
      <c r="A534" s="54" t="s">
        <v>18</v>
      </c>
      <c r="B534" s="54" t="s">
        <v>19</v>
      </c>
      <c r="C534" s="54" t="s">
        <v>20</v>
      </c>
      <c r="D534" s="54" t="s">
        <v>18</v>
      </c>
      <c r="E534" s="54" t="s">
        <v>24</v>
      </c>
      <c r="F534" s="54" t="s">
        <v>18</v>
      </c>
      <c r="G534" s="54" t="s">
        <v>21</v>
      </c>
      <c r="H534" s="54" t="s">
        <v>19</v>
      </c>
      <c r="I534" s="54" t="s">
        <v>24</v>
      </c>
      <c r="J534" s="54" t="s">
        <v>18</v>
      </c>
      <c r="K534" s="54" t="s">
        <v>18</v>
      </c>
      <c r="L534" s="54" t="s">
        <v>22</v>
      </c>
      <c r="M534" s="54" t="s">
        <v>18</v>
      </c>
      <c r="N534" s="54" t="s">
        <v>18</v>
      </c>
      <c r="O534" s="54" t="s">
        <v>18</v>
      </c>
      <c r="P534" s="54" t="s">
        <v>18</v>
      </c>
      <c r="Q534" s="54" t="s">
        <v>18</v>
      </c>
      <c r="R534" s="69" t="s">
        <v>274</v>
      </c>
      <c r="S534" s="58" t="s">
        <v>0</v>
      </c>
      <c r="T534" s="59">
        <v>0</v>
      </c>
      <c r="U534" s="59">
        <v>0</v>
      </c>
      <c r="V534" s="59">
        <v>0</v>
      </c>
      <c r="W534" s="1">
        <v>0</v>
      </c>
      <c r="X534" s="59">
        <v>0</v>
      </c>
      <c r="Y534" s="59">
        <v>0</v>
      </c>
      <c r="Z534" s="59">
        <v>0</v>
      </c>
      <c r="AA534" s="59">
        <f>T534+U534+V534+W534+X534+Y534</f>
        <v>0</v>
      </c>
      <c r="AB534" s="58">
        <v>2019</v>
      </c>
      <c r="AC534" s="33"/>
    </row>
    <row r="535" spans="1:33" s="72" customFormat="1" ht="33" hidden="1" customHeight="1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40" t="s">
        <v>275</v>
      </c>
      <c r="S535" s="41" t="s">
        <v>38</v>
      </c>
      <c r="T535" s="41">
        <v>0</v>
      </c>
      <c r="U535" s="41">
        <v>1</v>
      </c>
      <c r="V535" s="41">
        <v>0</v>
      </c>
      <c r="W535" s="82">
        <v>0</v>
      </c>
      <c r="X535" s="41">
        <v>0</v>
      </c>
      <c r="Y535" s="41">
        <v>0</v>
      </c>
      <c r="Z535" s="41">
        <v>0</v>
      </c>
      <c r="AA535" s="49">
        <f>U535</f>
        <v>1</v>
      </c>
      <c r="AB535" s="41">
        <v>2019</v>
      </c>
      <c r="AC535" s="110"/>
    </row>
    <row r="536" spans="1:33" ht="78.75" x14ac:dyDescent="0.25">
      <c r="A536" s="54" t="s">
        <v>18</v>
      </c>
      <c r="B536" s="54" t="s">
        <v>19</v>
      </c>
      <c r="C536" s="54" t="s">
        <v>20</v>
      </c>
      <c r="D536" s="54" t="s">
        <v>18</v>
      </c>
      <c r="E536" s="54" t="s">
        <v>24</v>
      </c>
      <c r="F536" s="54" t="s">
        <v>18</v>
      </c>
      <c r="G536" s="54" t="s">
        <v>21</v>
      </c>
      <c r="H536" s="54" t="s">
        <v>19</v>
      </c>
      <c r="I536" s="54" t="s">
        <v>24</v>
      </c>
      <c r="J536" s="54" t="s">
        <v>18</v>
      </c>
      <c r="K536" s="54" t="s">
        <v>18</v>
      </c>
      <c r="L536" s="54" t="s">
        <v>22</v>
      </c>
      <c r="M536" s="54" t="s">
        <v>19</v>
      </c>
      <c r="N536" s="54" t="s">
        <v>18</v>
      </c>
      <c r="O536" s="54" t="s">
        <v>21</v>
      </c>
      <c r="P536" s="54" t="s">
        <v>21</v>
      </c>
      <c r="Q536" s="54" t="s">
        <v>18</v>
      </c>
      <c r="R536" s="151" t="s">
        <v>287</v>
      </c>
      <c r="S536" s="58" t="s">
        <v>0</v>
      </c>
      <c r="T536" s="59">
        <v>0</v>
      </c>
      <c r="U536" s="59">
        <v>731.8</v>
      </c>
      <c r="V536" s="59">
        <v>0</v>
      </c>
      <c r="W536" s="59">
        <v>0</v>
      </c>
      <c r="X536" s="59">
        <v>0</v>
      </c>
      <c r="Y536" s="59">
        <v>0</v>
      </c>
      <c r="Z536" s="59">
        <v>0</v>
      </c>
      <c r="AA536" s="59">
        <f>T536+U536+V536+W536+X536+Y536</f>
        <v>731.8</v>
      </c>
      <c r="AB536" s="58">
        <v>2019</v>
      </c>
    </row>
    <row r="537" spans="1:33" s="72" customFormat="1" ht="31.5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78" t="s">
        <v>276</v>
      </c>
      <c r="S537" s="41" t="s">
        <v>50</v>
      </c>
      <c r="T537" s="44">
        <v>0</v>
      </c>
      <c r="U537" s="44">
        <v>347</v>
      </c>
      <c r="V537" s="44">
        <v>0</v>
      </c>
      <c r="W537" s="44">
        <v>0</v>
      </c>
      <c r="X537" s="44">
        <v>0</v>
      </c>
      <c r="Y537" s="44">
        <v>0</v>
      </c>
      <c r="Z537" s="44">
        <v>0</v>
      </c>
      <c r="AA537" s="49">
        <f>U537</f>
        <v>347</v>
      </c>
      <c r="AB537" s="73">
        <v>2019</v>
      </c>
      <c r="AC537" s="110"/>
    </row>
    <row r="538" spans="1:33" ht="40.5" customHeight="1" x14ac:dyDescent="0.25">
      <c r="A538" s="46"/>
      <c r="B538" s="46"/>
      <c r="C538" s="46"/>
      <c r="D538" s="46"/>
      <c r="E538" s="46"/>
      <c r="F538" s="46"/>
      <c r="G538" s="46"/>
      <c r="H538" s="46" t="s">
        <v>19</v>
      </c>
      <c r="I538" s="46" t="s">
        <v>24</v>
      </c>
      <c r="J538" s="46" t="s">
        <v>18</v>
      </c>
      <c r="K538" s="46" t="s">
        <v>18</v>
      </c>
      <c r="L538" s="46" t="s">
        <v>24</v>
      </c>
      <c r="M538" s="46" t="s">
        <v>18</v>
      </c>
      <c r="N538" s="46" t="s">
        <v>18</v>
      </c>
      <c r="O538" s="46" t="s">
        <v>18</v>
      </c>
      <c r="P538" s="46" t="s">
        <v>18</v>
      </c>
      <c r="Q538" s="46" t="s">
        <v>18</v>
      </c>
      <c r="R538" s="75" t="s">
        <v>54</v>
      </c>
      <c r="S538" s="140" t="s">
        <v>0</v>
      </c>
      <c r="T538" s="139">
        <f t="shared" ref="T538:Y538" si="148">T540+T553+T548</f>
        <v>25348.3</v>
      </c>
      <c r="U538" s="139">
        <f t="shared" si="148"/>
        <v>35592.6</v>
      </c>
      <c r="V538" s="139">
        <f t="shared" si="148"/>
        <v>25348.3</v>
      </c>
      <c r="W538" s="139">
        <f t="shared" si="148"/>
        <v>26934.5</v>
      </c>
      <c r="X538" s="139">
        <f t="shared" si="148"/>
        <v>34052.600000000006</v>
      </c>
      <c r="Y538" s="139">
        <f t="shared" si="148"/>
        <v>37563</v>
      </c>
      <c r="Z538" s="139">
        <f>Z540+Z553+Z548</f>
        <v>44069.5</v>
      </c>
      <c r="AA538" s="139">
        <f>SUM(T538:Z538)</f>
        <v>228908.79999999999</v>
      </c>
      <c r="AB538" s="140">
        <v>2024</v>
      </c>
    </row>
    <row r="539" spans="1:33" ht="31.5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91" t="s">
        <v>158</v>
      </c>
      <c r="S539" s="152" t="s">
        <v>52</v>
      </c>
      <c r="T539" s="136">
        <f>T543</f>
        <v>2225</v>
      </c>
      <c r="U539" s="136">
        <f t="shared" ref="U539:AA539" si="149">U543</f>
        <v>2224</v>
      </c>
      <c r="V539" s="136">
        <f t="shared" si="149"/>
        <v>2224</v>
      </c>
      <c r="W539" s="136">
        <f t="shared" si="149"/>
        <v>2224</v>
      </c>
      <c r="X539" s="136">
        <f t="shared" si="149"/>
        <v>2225</v>
      </c>
      <c r="Y539" s="136">
        <f t="shared" si="149"/>
        <v>2225</v>
      </c>
      <c r="Z539" s="136">
        <f t="shared" ref="Z539" si="150">Z543</f>
        <v>2225</v>
      </c>
      <c r="AA539" s="137">
        <f t="shared" si="149"/>
        <v>2225</v>
      </c>
      <c r="AB539" s="41">
        <v>2024</v>
      </c>
      <c r="AD539" s="12"/>
      <c r="AE539" s="12"/>
      <c r="AF539" s="12"/>
      <c r="AG539" s="12"/>
    </row>
    <row r="540" spans="1:33" x14ac:dyDescent="0.25">
      <c r="A540" s="54"/>
      <c r="B540" s="54"/>
      <c r="C540" s="54"/>
      <c r="D540" s="54" t="s">
        <v>18</v>
      </c>
      <c r="E540" s="54" t="s">
        <v>21</v>
      </c>
      <c r="F540" s="54" t="s">
        <v>18</v>
      </c>
      <c r="G540" s="54" t="s">
        <v>22</v>
      </c>
      <c r="H540" s="54" t="s">
        <v>19</v>
      </c>
      <c r="I540" s="54" t="s">
        <v>24</v>
      </c>
      <c r="J540" s="54" t="s">
        <v>18</v>
      </c>
      <c r="K540" s="54" t="s">
        <v>18</v>
      </c>
      <c r="L540" s="54" t="s">
        <v>24</v>
      </c>
      <c r="M540" s="54" t="s">
        <v>43</v>
      </c>
      <c r="N540" s="54" t="s">
        <v>43</v>
      </c>
      <c r="O540" s="54" t="s">
        <v>43</v>
      </c>
      <c r="P540" s="54" t="s">
        <v>43</v>
      </c>
      <c r="Q540" s="54" t="s">
        <v>43</v>
      </c>
      <c r="R540" s="175" t="s">
        <v>159</v>
      </c>
      <c r="S540" s="180" t="s">
        <v>0</v>
      </c>
      <c r="T540" s="59">
        <v>25348.3</v>
      </c>
      <c r="U540" s="59">
        <f>23600+1311.8</f>
        <v>24911.8</v>
      </c>
      <c r="V540" s="59">
        <f>V541+V542</f>
        <v>25348.3</v>
      </c>
      <c r="W540" s="59">
        <f t="shared" ref="W540:Y540" si="151">W541+W542</f>
        <v>22802.2</v>
      </c>
      <c r="X540" s="59">
        <f t="shared" si="151"/>
        <v>28227.600000000002</v>
      </c>
      <c r="Y540" s="59">
        <f t="shared" si="151"/>
        <v>25660.400000000001</v>
      </c>
      <c r="Z540" s="59">
        <f>Z541+Z542</f>
        <v>25660.400000000001</v>
      </c>
      <c r="AA540" s="59">
        <f>SUM(T540:Z540)</f>
        <v>177959</v>
      </c>
      <c r="AB540" s="58">
        <v>2024</v>
      </c>
      <c r="AC540" s="33"/>
    </row>
    <row r="541" spans="1:33" x14ac:dyDescent="0.25">
      <c r="A541" s="54" t="s">
        <v>18</v>
      </c>
      <c r="B541" s="54" t="s">
        <v>19</v>
      </c>
      <c r="C541" s="54" t="s">
        <v>20</v>
      </c>
      <c r="D541" s="54" t="s">
        <v>18</v>
      </c>
      <c r="E541" s="54" t="s">
        <v>21</v>
      </c>
      <c r="F541" s="54" t="s">
        <v>18</v>
      </c>
      <c r="G541" s="54" t="s">
        <v>22</v>
      </c>
      <c r="H541" s="54" t="s">
        <v>19</v>
      </c>
      <c r="I541" s="54" t="s">
        <v>24</v>
      </c>
      <c r="J541" s="54" t="s">
        <v>18</v>
      </c>
      <c r="K541" s="54" t="s">
        <v>18</v>
      </c>
      <c r="L541" s="54" t="s">
        <v>24</v>
      </c>
      <c r="M541" s="54" t="s">
        <v>43</v>
      </c>
      <c r="N541" s="54" t="s">
        <v>43</v>
      </c>
      <c r="O541" s="54" t="s">
        <v>43</v>
      </c>
      <c r="P541" s="54" t="s">
        <v>43</v>
      </c>
      <c r="Q541" s="54" t="s">
        <v>43</v>
      </c>
      <c r="R541" s="176"/>
      <c r="S541" s="181"/>
      <c r="T541" s="1">
        <v>25348.3</v>
      </c>
      <c r="U541" s="1">
        <v>24911.8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59">
        <f t="shared" ref="AA541:AA542" si="152">SUM(T541:Z541)</f>
        <v>50260.1</v>
      </c>
      <c r="AB541" s="55">
        <v>2019</v>
      </c>
      <c r="AC541" s="33"/>
    </row>
    <row r="542" spans="1:33" x14ac:dyDescent="0.25">
      <c r="A542" s="54" t="s">
        <v>18</v>
      </c>
      <c r="B542" s="54" t="s">
        <v>19</v>
      </c>
      <c r="C542" s="54" t="s">
        <v>24</v>
      </c>
      <c r="D542" s="54" t="s">
        <v>18</v>
      </c>
      <c r="E542" s="54" t="s">
        <v>21</v>
      </c>
      <c r="F542" s="54" t="s">
        <v>18</v>
      </c>
      <c r="G542" s="54" t="s">
        <v>22</v>
      </c>
      <c r="H542" s="54" t="s">
        <v>19</v>
      </c>
      <c r="I542" s="54" t="s">
        <v>24</v>
      </c>
      <c r="J542" s="54" t="s">
        <v>18</v>
      </c>
      <c r="K542" s="54" t="s">
        <v>18</v>
      </c>
      <c r="L542" s="54" t="s">
        <v>24</v>
      </c>
      <c r="M542" s="54" t="s">
        <v>43</v>
      </c>
      <c r="N542" s="54" t="s">
        <v>43</v>
      </c>
      <c r="O542" s="54" t="s">
        <v>43</v>
      </c>
      <c r="P542" s="54" t="s">
        <v>43</v>
      </c>
      <c r="Q542" s="54" t="s">
        <v>43</v>
      </c>
      <c r="R542" s="177"/>
      <c r="S542" s="182"/>
      <c r="T542" s="1">
        <v>0</v>
      </c>
      <c r="U542" s="1">
        <v>0</v>
      </c>
      <c r="V542" s="1">
        <v>25348.3</v>
      </c>
      <c r="W542" s="1">
        <f>21770.4+1031.8</f>
        <v>22802.2</v>
      </c>
      <c r="X542" s="1">
        <f>21770.4+6457.2</f>
        <v>28227.600000000002</v>
      </c>
      <c r="Y542" s="1">
        <v>25660.400000000001</v>
      </c>
      <c r="Z542" s="1">
        <v>25660.400000000001</v>
      </c>
      <c r="AA542" s="59">
        <f t="shared" si="152"/>
        <v>127698.9</v>
      </c>
      <c r="AB542" s="55">
        <v>2024</v>
      </c>
      <c r="AC542" s="33"/>
    </row>
    <row r="543" spans="1:33" ht="34.15" customHeight="1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80" t="s">
        <v>160</v>
      </c>
      <c r="S543" s="155" t="s">
        <v>52</v>
      </c>
      <c r="T543" s="2">
        <v>2225</v>
      </c>
      <c r="U543" s="44">
        <v>2224</v>
      </c>
      <c r="V543" s="44">
        <v>2224</v>
      </c>
      <c r="W543" s="44">
        <v>2224</v>
      </c>
      <c r="X543" s="44">
        <v>2225</v>
      </c>
      <c r="Y543" s="44">
        <v>2225</v>
      </c>
      <c r="Z543" s="44">
        <v>2225</v>
      </c>
      <c r="AA543" s="45">
        <f>Z543</f>
        <v>2225</v>
      </c>
      <c r="AB543" s="41">
        <v>2024</v>
      </c>
      <c r="AC543" s="33"/>
    </row>
    <row r="544" spans="1:33" ht="31.5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80" t="s">
        <v>161</v>
      </c>
      <c r="S544" s="155" t="s">
        <v>53</v>
      </c>
      <c r="T544" s="2">
        <v>365</v>
      </c>
      <c r="U544" s="2">
        <v>365</v>
      </c>
      <c r="V544" s="44">
        <v>366</v>
      </c>
      <c r="W544" s="44">
        <v>365</v>
      </c>
      <c r="X544" s="2">
        <v>365</v>
      </c>
      <c r="Y544" s="2">
        <v>365</v>
      </c>
      <c r="Z544" s="2">
        <v>366</v>
      </c>
      <c r="AA544" s="45">
        <f>T544+U544+V544+W544+X544+Y544+Z544</f>
        <v>2557</v>
      </c>
      <c r="AB544" s="41">
        <v>2024</v>
      </c>
      <c r="AC544" s="33"/>
    </row>
    <row r="545" spans="1:31" ht="31.5" x14ac:dyDescent="0.2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80" t="s">
        <v>162</v>
      </c>
      <c r="S545" s="155" t="s">
        <v>38</v>
      </c>
      <c r="T545" s="2">
        <v>4917</v>
      </c>
      <c r="U545" s="2">
        <v>5400</v>
      </c>
      <c r="V545" s="2">
        <v>4794</v>
      </c>
      <c r="W545" s="44">
        <v>6500</v>
      </c>
      <c r="X545" s="2">
        <v>4878</v>
      </c>
      <c r="Y545" s="2">
        <v>6453</v>
      </c>
      <c r="Z545" s="2">
        <v>6453</v>
      </c>
      <c r="AA545" s="45">
        <f t="shared" ref="AA545:AA547" si="153">T545+U545+V545+W545+X545+Y545+Z545</f>
        <v>39395</v>
      </c>
      <c r="AB545" s="41">
        <v>2024</v>
      </c>
      <c r="AC545" s="122"/>
      <c r="AD545" s="101"/>
    </row>
    <row r="546" spans="1:31" ht="47.25" x14ac:dyDescent="0.2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80" t="s">
        <v>163</v>
      </c>
      <c r="S546" s="155" t="s">
        <v>38</v>
      </c>
      <c r="T546" s="2">
        <v>4598</v>
      </c>
      <c r="U546" s="44">
        <v>4558</v>
      </c>
      <c r="V546" s="2">
        <v>4594</v>
      </c>
      <c r="W546" s="44">
        <v>6500</v>
      </c>
      <c r="X546" s="2">
        <v>4878</v>
      </c>
      <c r="Y546" s="2">
        <v>6453</v>
      </c>
      <c r="Z546" s="2">
        <v>6453</v>
      </c>
      <c r="AA546" s="45">
        <f t="shared" si="153"/>
        <v>38034</v>
      </c>
      <c r="AB546" s="41">
        <v>2024</v>
      </c>
      <c r="AC546" s="122"/>
      <c r="AD546" s="101"/>
    </row>
    <row r="547" spans="1:31" ht="47.25" x14ac:dyDescent="0.2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80" t="s">
        <v>164</v>
      </c>
      <c r="S547" s="155" t="s">
        <v>38</v>
      </c>
      <c r="T547" s="2">
        <v>488</v>
      </c>
      <c r="U547" s="2">
        <v>550</v>
      </c>
      <c r="V547" s="2">
        <v>516</v>
      </c>
      <c r="W547" s="44">
        <v>500</v>
      </c>
      <c r="X547" s="2">
        <v>490</v>
      </c>
      <c r="Y547" s="2">
        <v>490</v>
      </c>
      <c r="Z547" s="2">
        <v>490</v>
      </c>
      <c r="AA547" s="45">
        <f t="shared" si="153"/>
        <v>3524</v>
      </c>
      <c r="AB547" s="41">
        <v>2024</v>
      </c>
      <c r="AC547" s="122"/>
      <c r="AD547" s="101"/>
    </row>
    <row r="548" spans="1:31" x14ac:dyDescent="0.25">
      <c r="A548" s="54"/>
      <c r="B548" s="54"/>
      <c r="C548" s="54"/>
      <c r="D548" s="54" t="s">
        <v>18</v>
      </c>
      <c r="E548" s="54" t="s">
        <v>21</v>
      </c>
      <c r="F548" s="54" t="s">
        <v>18</v>
      </c>
      <c r="G548" s="54" t="s">
        <v>22</v>
      </c>
      <c r="H548" s="54" t="s">
        <v>19</v>
      </c>
      <c r="I548" s="54" t="s">
        <v>24</v>
      </c>
      <c r="J548" s="54" t="s">
        <v>18</v>
      </c>
      <c r="K548" s="54" t="s">
        <v>18</v>
      </c>
      <c r="L548" s="54" t="s">
        <v>24</v>
      </c>
      <c r="M548" s="54" t="s">
        <v>43</v>
      </c>
      <c r="N548" s="54" t="s">
        <v>43</v>
      </c>
      <c r="O548" s="54" t="s">
        <v>43</v>
      </c>
      <c r="P548" s="54" t="s">
        <v>43</v>
      </c>
      <c r="Q548" s="54" t="s">
        <v>43</v>
      </c>
      <c r="R548" s="175" t="s">
        <v>310</v>
      </c>
      <c r="S548" s="180" t="s">
        <v>0</v>
      </c>
      <c r="T548" s="59">
        <f>T549+T550</f>
        <v>0</v>
      </c>
      <c r="U548" s="59">
        <f t="shared" ref="U548:Z548" si="154">U549+U550</f>
        <v>10680.8</v>
      </c>
      <c r="V548" s="59">
        <f t="shared" si="154"/>
        <v>0</v>
      </c>
      <c r="W548" s="59">
        <f t="shared" si="154"/>
        <v>4132.3</v>
      </c>
      <c r="X548" s="59">
        <f t="shared" si="154"/>
        <v>825</v>
      </c>
      <c r="Y548" s="59">
        <f t="shared" si="154"/>
        <v>0</v>
      </c>
      <c r="Z548" s="59">
        <f t="shared" si="154"/>
        <v>0</v>
      </c>
      <c r="AA548" s="59">
        <f>SUM(T548:Z548)</f>
        <v>15638.099999999999</v>
      </c>
      <c r="AB548" s="58">
        <v>2022</v>
      </c>
      <c r="AC548" s="33"/>
      <c r="AD548" s="101"/>
    </row>
    <row r="549" spans="1:31" x14ac:dyDescent="0.25">
      <c r="A549" s="54" t="s">
        <v>18</v>
      </c>
      <c r="B549" s="54" t="s">
        <v>19</v>
      </c>
      <c r="C549" s="54" t="s">
        <v>20</v>
      </c>
      <c r="D549" s="54" t="s">
        <v>18</v>
      </c>
      <c r="E549" s="54" t="s">
        <v>21</v>
      </c>
      <c r="F549" s="54" t="s">
        <v>18</v>
      </c>
      <c r="G549" s="54" t="s">
        <v>22</v>
      </c>
      <c r="H549" s="54" t="s">
        <v>19</v>
      </c>
      <c r="I549" s="54" t="s">
        <v>24</v>
      </c>
      <c r="J549" s="54" t="s">
        <v>18</v>
      </c>
      <c r="K549" s="54" t="s">
        <v>18</v>
      </c>
      <c r="L549" s="54" t="s">
        <v>24</v>
      </c>
      <c r="M549" s="54" t="s">
        <v>43</v>
      </c>
      <c r="N549" s="54" t="s">
        <v>43</v>
      </c>
      <c r="O549" s="54" t="s">
        <v>43</v>
      </c>
      <c r="P549" s="54" t="s">
        <v>43</v>
      </c>
      <c r="Q549" s="54" t="s">
        <v>43</v>
      </c>
      <c r="R549" s="176"/>
      <c r="S549" s="181"/>
      <c r="T549" s="1">
        <v>0</v>
      </c>
      <c r="U549" s="1">
        <v>10680.8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59">
        <f t="shared" ref="AA549:AA550" si="155">SUM(T549:Z549)</f>
        <v>10680.8</v>
      </c>
      <c r="AB549" s="58">
        <v>2019</v>
      </c>
      <c r="AC549" s="33"/>
      <c r="AD549" s="101"/>
    </row>
    <row r="550" spans="1:31" x14ac:dyDescent="0.25">
      <c r="A550" s="54" t="s">
        <v>18</v>
      </c>
      <c r="B550" s="54" t="s">
        <v>19</v>
      </c>
      <c r="C550" s="54" t="s">
        <v>24</v>
      </c>
      <c r="D550" s="54" t="s">
        <v>18</v>
      </c>
      <c r="E550" s="54" t="s">
        <v>21</v>
      </c>
      <c r="F550" s="54" t="s">
        <v>18</v>
      </c>
      <c r="G550" s="54" t="s">
        <v>22</v>
      </c>
      <c r="H550" s="54" t="s">
        <v>19</v>
      </c>
      <c r="I550" s="54" t="s">
        <v>24</v>
      </c>
      <c r="J550" s="54" t="s">
        <v>18</v>
      </c>
      <c r="K550" s="54" t="s">
        <v>18</v>
      </c>
      <c r="L550" s="54" t="s">
        <v>24</v>
      </c>
      <c r="M550" s="54" t="s">
        <v>43</v>
      </c>
      <c r="N550" s="54" t="s">
        <v>43</v>
      </c>
      <c r="O550" s="54" t="s">
        <v>43</v>
      </c>
      <c r="P550" s="54" t="s">
        <v>43</v>
      </c>
      <c r="Q550" s="54" t="s">
        <v>43</v>
      </c>
      <c r="R550" s="177"/>
      <c r="S550" s="182"/>
      <c r="T550" s="1">
        <v>0</v>
      </c>
      <c r="U550" s="1">
        <v>0</v>
      </c>
      <c r="V550" s="1">
        <v>0</v>
      </c>
      <c r="W550" s="1">
        <v>4132.3</v>
      </c>
      <c r="X550" s="1">
        <f>0+825</f>
        <v>825</v>
      </c>
      <c r="Y550" s="1">
        <v>0</v>
      </c>
      <c r="Z550" s="1">
        <v>0</v>
      </c>
      <c r="AA550" s="59">
        <f t="shared" si="155"/>
        <v>4957.3</v>
      </c>
      <c r="AB550" s="58">
        <v>2022</v>
      </c>
      <c r="AC550" s="33"/>
      <c r="AD550" s="101"/>
    </row>
    <row r="551" spans="1:31" ht="31.5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40" t="s">
        <v>255</v>
      </c>
      <c r="S551" s="41" t="s">
        <v>38</v>
      </c>
      <c r="T551" s="44">
        <v>0</v>
      </c>
      <c r="U551" s="44">
        <v>7300</v>
      </c>
      <c r="V551" s="44">
        <v>0</v>
      </c>
      <c r="W551" s="44">
        <v>7300</v>
      </c>
      <c r="X551" s="44">
        <v>0</v>
      </c>
      <c r="Y551" s="44">
        <v>0</v>
      </c>
      <c r="Z551" s="44">
        <v>0</v>
      </c>
      <c r="AA551" s="49">
        <f>U551</f>
        <v>7300</v>
      </c>
      <c r="AB551" s="41">
        <v>2021</v>
      </c>
      <c r="AC551" s="33"/>
      <c r="AD551" s="103"/>
      <c r="AE551" s="103"/>
    </row>
    <row r="552" spans="1:31" ht="47.25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40" t="s">
        <v>365</v>
      </c>
      <c r="S552" s="41" t="s">
        <v>38</v>
      </c>
      <c r="T552" s="44">
        <v>0</v>
      </c>
      <c r="U552" s="44">
        <v>0</v>
      </c>
      <c r="V552" s="44">
        <v>0</v>
      </c>
      <c r="W552" s="44">
        <v>0</v>
      </c>
      <c r="X552" s="44">
        <v>2</v>
      </c>
      <c r="Y552" s="44">
        <v>0</v>
      </c>
      <c r="Z552" s="44">
        <v>0</v>
      </c>
      <c r="AA552" s="49">
        <f>X552</f>
        <v>2</v>
      </c>
      <c r="AB552" s="41">
        <v>2022</v>
      </c>
      <c r="AC552" s="33"/>
      <c r="AD552" s="103"/>
      <c r="AE552" s="103"/>
    </row>
    <row r="553" spans="1:31" ht="31.5" x14ac:dyDescent="0.25">
      <c r="A553" s="54" t="s">
        <v>18</v>
      </c>
      <c r="B553" s="54" t="s">
        <v>19</v>
      </c>
      <c r="C553" s="54" t="s">
        <v>24</v>
      </c>
      <c r="D553" s="54" t="s">
        <v>18</v>
      </c>
      <c r="E553" s="54" t="s">
        <v>21</v>
      </c>
      <c r="F553" s="54" t="s">
        <v>18</v>
      </c>
      <c r="G553" s="54" t="s">
        <v>22</v>
      </c>
      <c r="H553" s="54" t="s">
        <v>19</v>
      </c>
      <c r="I553" s="54" t="s">
        <v>24</v>
      </c>
      <c r="J553" s="54" t="s">
        <v>18</v>
      </c>
      <c r="K553" s="54" t="s">
        <v>18</v>
      </c>
      <c r="L553" s="54" t="s">
        <v>24</v>
      </c>
      <c r="M553" s="54" t="s">
        <v>18</v>
      </c>
      <c r="N553" s="54" t="s">
        <v>18</v>
      </c>
      <c r="O553" s="54" t="s">
        <v>18</v>
      </c>
      <c r="P553" s="54" t="s">
        <v>24</v>
      </c>
      <c r="Q553" s="54" t="s">
        <v>22</v>
      </c>
      <c r="R553" s="151" t="s">
        <v>363</v>
      </c>
      <c r="S553" s="58" t="s">
        <v>0</v>
      </c>
      <c r="T553" s="59">
        <v>0</v>
      </c>
      <c r="U553" s="59">
        <f>4000-4000</f>
        <v>0</v>
      </c>
      <c r="V553" s="59">
        <v>0</v>
      </c>
      <c r="W553" s="59">
        <v>0</v>
      </c>
      <c r="X553" s="59">
        <v>5000</v>
      </c>
      <c r="Y553" s="59">
        <v>11902.6</v>
      </c>
      <c r="Z553" s="59">
        <v>18409.099999999999</v>
      </c>
      <c r="AA553" s="59">
        <f>SUM(T553:Z553)</f>
        <v>35311.699999999997</v>
      </c>
      <c r="AB553" s="58">
        <v>2024</v>
      </c>
      <c r="AC553" s="33"/>
      <c r="AD553" s="101"/>
    </row>
    <row r="554" spans="1:31" ht="31.5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40" t="s">
        <v>254</v>
      </c>
      <c r="S554" s="41" t="s">
        <v>38</v>
      </c>
      <c r="T554" s="44">
        <v>0</v>
      </c>
      <c r="U554" s="44">
        <v>0</v>
      </c>
      <c r="V554" s="44">
        <v>0</v>
      </c>
      <c r="W554" s="44">
        <v>0</v>
      </c>
      <c r="X554" s="44">
        <v>1</v>
      </c>
      <c r="Y554" s="44">
        <v>0</v>
      </c>
      <c r="Z554" s="44">
        <v>0</v>
      </c>
      <c r="AA554" s="49">
        <v>0</v>
      </c>
      <c r="AB554" s="41">
        <v>2022</v>
      </c>
      <c r="AC554" s="33"/>
      <c r="AD554" s="103"/>
      <c r="AE554" s="103"/>
    </row>
    <row r="555" spans="1:31" ht="31.5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40" t="s">
        <v>346</v>
      </c>
      <c r="S555" s="41" t="s">
        <v>38</v>
      </c>
      <c r="T555" s="44">
        <v>0</v>
      </c>
      <c r="U555" s="44">
        <v>0</v>
      </c>
      <c r="V555" s="44">
        <v>0</v>
      </c>
      <c r="W555" s="44">
        <v>0</v>
      </c>
      <c r="X555" s="44">
        <v>0</v>
      </c>
      <c r="Y555" s="44">
        <v>6000</v>
      </c>
      <c r="Z555" s="44">
        <v>8000</v>
      </c>
      <c r="AA555" s="49">
        <f>Y555+Z555</f>
        <v>14000</v>
      </c>
      <c r="AB555" s="41">
        <v>2024</v>
      </c>
      <c r="AC555" s="33"/>
      <c r="AD555" s="103"/>
      <c r="AE555" s="103"/>
    </row>
    <row r="556" spans="1:31" ht="31.5" x14ac:dyDescent="0.25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40" t="s">
        <v>347</v>
      </c>
      <c r="S556" s="94" t="s">
        <v>9</v>
      </c>
      <c r="T556" s="44">
        <v>0</v>
      </c>
      <c r="U556" s="44">
        <v>0</v>
      </c>
      <c r="V556" s="44">
        <v>0</v>
      </c>
      <c r="W556" s="44">
        <v>0</v>
      </c>
      <c r="X556" s="44">
        <v>0</v>
      </c>
      <c r="Y556" s="44">
        <v>50</v>
      </c>
      <c r="Z556" s="44">
        <v>50</v>
      </c>
      <c r="AA556" s="49">
        <v>100</v>
      </c>
      <c r="AB556" s="41">
        <v>2024</v>
      </c>
      <c r="AC556" s="33"/>
    </row>
    <row r="557" spans="1:31" ht="26.45" customHeight="1" x14ac:dyDescent="0.25">
      <c r="AB557" s="154" t="s">
        <v>58</v>
      </c>
    </row>
    <row r="558" spans="1:31" ht="52.9" customHeight="1" x14ac:dyDescent="0.25"/>
    <row r="559" spans="1:31" ht="40.15" customHeight="1" x14ac:dyDescent="0.25">
      <c r="A559" s="179" t="s">
        <v>364</v>
      </c>
      <c r="B559" s="179"/>
      <c r="C559" s="179"/>
      <c r="D559" s="179"/>
      <c r="E559" s="179"/>
      <c r="F559" s="179"/>
      <c r="G559" s="179"/>
      <c r="H559" s="179"/>
      <c r="I559" s="179"/>
      <c r="J559" s="179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  <c r="X559" s="179"/>
      <c r="Y559" s="179"/>
      <c r="Z559" s="179"/>
      <c r="AA559" s="179"/>
      <c r="AB559" s="179"/>
    </row>
  </sheetData>
  <mergeCells count="89">
    <mergeCell ref="S74:S79"/>
    <mergeCell ref="S81:S84"/>
    <mergeCell ref="S39:S43"/>
    <mergeCell ref="S463:S465"/>
    <mergeCell ref="S235:S238"/>
    <mergeCell ref="S227:S231"/>
    <mergeCell ref="S211:S215"/>
    <mergeCell ref="S219:S223"/>
    <mergeCell ref="S203:S207"/>
    <mergeCell ref="S431:S439"/>
    <mergeCell ref="S246:S254"/>
    <mergeCell ref="S446:S448"/>
    <mergeCell ref="S68:S72"/>
    <mergeCell ref="S108:S110"/>
    <mergeCell ref="S148:S154"/>
    <mergeCell ref="R418:R422"/>
    <mergeCell ref="R424:R429"/>
    <mergeCell ref="R431:R439"/>
    <mergeCell ref="R503:R504"/>
    <mergeCell ref="A559:AB559"/>
    <mergeCell ref="R506:R507"/>
    <mergeCell ref="R509:R510"/>
    <mergeCell ref="R512:R513"/>
    <mergeCell ref="R517:R519"/>
    <mergeCell ref="R540:R542"/>
    <mergeCell ref="S540:S542"/>
    <mergeCell ref="R548:R550"/>
    <mergeCell ref="S548:S550"/>
    <mergeCell ref="R500:R501"/>
    <mergeCell ref="R463:R465"/>
    <mergeCell ref="R446:R448"/>
    <mergeCell ref="R384:R389"/>
    <mergeCell ref="R391:R396"/>
    <mergeCell ref="R398:R403"/>
    <mergeCell ref="R405:R410"/>
    <mergeCell ref="R412:R416"/>
    <mergeCell ref="R350:R354"/>
    <mergeCell ref="R356:R361"/>
    <mergeCell ref="R363:R368"/>
    <mergeCell ref="R370:R375"/>
    <mergeCell ref="R377:R382"/>
    <mergeCell ref="R219:R223"/>
    <mergeCell ref="R227:R231"/>
    <mergeCell ref="R235:R238"/>
    <mergeCell ref="R258:R261"/>
    <mergeCell ref="R246:R254"/>
    <mergeCell ref="R39:R43"/>
    <mergeCell ref="R49:R52"/>
    <mergeCell ref="R196:R198"/>
    <mergeCell ref="R203:R207"/>
    <mergeCell ref="R211:R215"/>
    <mergeCell ref="R74:R79"/>
    <mergeCell ref="R81:R84"/>
    <mergeCell ref="R68:R72"/>
    <mergeCell ref="R108:R110"/>
    <mergeCell ref="R148:R154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A1:AB1"/>
    <mergeCell ref="A4:AB4"/>
    <mergeCell ref="A5:AB5"/>
    <mergeCell ref="A6:AB6"/>
    <mergeCell ref="A3:AB3"/>
    <mergeCell ref="R293:R302"/>
    <mergeCell ref="S293:S302"/>
    <mergeCell ref="R336:R347"/>
    <mergeCell ref="S336:S347"/>
    <mergeCell ref="R263:R266"/>
    <mergeCell ref="R268:R272"/>
    <mergeCell ref="R274:R278"/>
    <mergeCell ref="R280:R284"/>
    <mergeCell ref="R287:R291"/>
    <mergeCell ref="R305:R309"/>
    <mergeCell ref="R311:R314"/>
    <mergeCell ref="R316:R319"/>
    <mergeCell ref="R321:R324"/>
    <mergeCell ref="R326:R329"/>
    <mergeCell ref="R331:R334"/>
  </mergeCells>
  <pageMargins left="0.35433070866141736" right="0.27559055118110237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2022-10-24T09:27:45Z</dcterms:modified>
</cp:coreProperties>
</file>